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0" windowWidth="20730" windowHeight="10665" firstSheet="9" activeTab="9"/>
  </bookViews>
  <sheets>
    <sheet name="1" sheetId="1" state="hidden" r:id="rId1"/>
    <sheet name="2" sheetId="4" state="hidden" r:id="rId2"/>
    <sheet name="3" sheetId="2" state="hidden" r:id="rId3"/>
    <sheet name="4" sheetId="3" state="hidden" r:id="rId4"/>
    <sheet name="5" sheetId="5" state="hidden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 (фин-экон.модель)" sheetId="20" state="hidden" r:id="rId20"/>
    <sheet name="20 (источники финанс)" sheetId="21" state="hidden" r:id="rId21"/>
    <sheet name="ФЭМ" sheetId="24" r:id="rId22"/>
  </sheets>
  <definedNames>
    <definedName name="_xlnm._FilterDatabase" localSheetId="9" hidden="1">'10'!$A$21:$T$93</definedName>
    <definedName name="_xlnm._FilterDatabase" localSheetId="10" hidden="1">'11'!$A$21:$Y$111</definedName>
    <definedName name="_xlnm._FilterDatabase" localSheetId="11" hidden="1">'12'!$A$21:$V$111</definedName>
    <definedName name="_xlnm._FilterDatabase" localSheetId="12" hidden="1">'13'!$A$23:$CB$116</definedName>
    <definedName name="_xlnm._FilterDatabase" localSheetId="13" hidden="1">'14'!$A$17:$AH$17</definedName>
    <definedName name="_xlnm._FilterDatabase" localSheetId="14" hidden="1">'15'!$A$22:$CD$115</definedName>
    <definedName name="_xlnm._FilterDatabase" localSheetId="15" hidden="1">'16'!$A$23:$BH$102</definedName>
    <definedName name="_xlnm._FilterDatabase" localSheetId="16" hidden="1">'17'!$A$22:$BC$112</definedName>
    <definedName name="_xlnm._FilterDatabase" localSheetId="17" hidden="1">'18'!$A$24:$BK$24</definedName>
    <definedName name="_xlnm.Print_Area" localSheetId="12">'13'!$A$1:$CA$116</definedName>
    <definedName name="_xlnm.Print_Area" localSheetId="13">'14'!$A$1:$AH$110</definedName>
    <definedName name="_xlnm.Print_Area" localSheetId="14">'15'!$A$1:$CD$115</definedName>
    <definedName name="_xlnm.Print_Area" localSheetId="15">'16'!$A$1:$BH$102</definedName>
    <definedName name="_xlnm.Print_Area" localSheetId="20">'20 (источники финанс)'!$A$1:$H$278</definedName>
  </definedNames>
  <calcPr calcId="145621"/>
</workbook>
</file>

<file path=xl/calcChain.xml><?xml version="1.0" encoding="utf-8"?>
<calcChain xmlns="http://schemas.openxmlformats.org/spreadsheetml/2006/main">
  <c r="BT33" i="13" l="1"/>
  <c r="BC37" i="13"/>
  <c r="Q46" i="10" l="1"/>
  <c r="CA84" i="13"/>
  <c r="CA83" i="13"/>
  <c r="BY78" i="13"/>
  <c r="BY79" i="13"/>
  <c r="BY87" i="13"/>
  <c r="BY105" i="13"/>
  <c r="BY106" i="13"/>
  <c r="V53" i="12"/>
  <c r="D31" i="10"/>
  <c r="V35" i="12" l="1"/>
  <c r="D26" i="12"/>
  <c r="D27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34" i="13" l="1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3" i="13"/>
  <c r="D54" i="13"/>
  <c r="D55" i="13"/>
  <c r="D56" i="13"/>
  <c r="D57" i="13"/>
  <c r="D58" i="13"/>
  <c r="D78" i="13"/>
  <c r="D79" i="13"/>
  <c r="D87" i="13"/>
  <c r="D105" i="13"/>
  <c r="D106" i="13"/>
  <c r="CD36" i="15"/>
  <c r="CD33" i="15"/>
  <c r="N33" i="15"/>
  <c r="G33" i="15" s="1"/>
  <c r="CD34" i="15"/>
  <c r="N34" i="15"/>
  <c r="G34" i="15" s="1"/>
  <c r="CD35" i="15"/>
  <c r="N35" i="15"/>
  <c r="G35" i="15" s="1"/>
  <c r="G25" i="14"/>
  <c r="G19" i="14" s="1"/>
  <c r="AF28" i="14"/>
  <c r="BR33" i="15" s="1"/>
  <c r="AA28" i="14"/>
  <c r="BK33" i="15" s="1"/>
  <c r="V28" i="14"/>
  <c r="BD33" i="15" s="1"/>
  <c r="Q28" i="14"/>
  <c r="AF29" i="14"/>
  <c r="BR34" i="15" s="1"/>
  <c r="AA29" i="14"/>
  <c r="BK34" i="15" s="1"/>
  <c r="V29" i="14"/>
  <c r="BD34" i="15" s="1"/>
  <c r="Q29" i="14"/>
  <c r="AF30" i="14"/>
  <c r="BR35" i="15" s="1"/>
  <c r="AA30" i="14"/>
  <c r="BK35" i="15" s="1"/>
  <c r="V30" i="14"/>
  <c r="BD35" i="15" s="1"/>
  <c r="Q30" i="14"/>
  <c r="I33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34" i="13"/>
  <c r="AT34" i="13"/>
  <c r="AS34" i="13"/>
  <c r="AQ34" i="13"/>
  <c r="AP34" i="13"/>
  <c r="AN34" i="13"/>
  <c r="AT35" i="13"/>
  <c r="AS35" i="13"/>
  <c r="AQ35" i="13"/>
  <c r="AP35" i="13"/>
  <c r="AN35" i="13"/>
  <c r="AT36" i="13"/>
  <c r="AS36" i="13"/>
  <c r="AQ36" i="13"/>
  <c r="AP36" i="13"/>
  <c r="AN36" i="13"/>
  <c r="AR58" i="13"/>
  <c r="BJ82" i="13"/>
  <c r="BQ50" i="13"/>
  <c r="AD25" i="17"/>
  <c r="AY103" i="17"/>
  <c r="AY91" i="17"/>
  <c r="AY80" i="17"/>
  <c r="AY83" i="17"/>
  <c r="AY64" i="17"/>
  <c r="AY63" i="17"/>
  <c r="AY62" i="17"/>
  <c r="AY49" i="17"/>
  <c r="AY50" i="17"/>
  <c r="AY51" i="17"/>
  <c r="AY52" i="17"/>
  <c r="AY53" i="17"/>
  <c r="AZ79" i="17"/>
  <c r="AY79" i="17" s="1"/>
  <c r="AC32" i="17"/>
  <c r="X32" i="17"/>
  <c r="S32" i="17"/>
  <c r="N32" i="17"/>
  <c r="J33" i="17"/>
  <c r="V41" i="17"/>
  <c r="AR50" i="13"/>
  <c r="AZ67" i="18"/>
  <c r="AZ35" i="18"/>
  <c r="AZ36" i="18"/>
  <c r="AZ37" i="18"/>
  <c r="AZ38" i="18"/>
  <c r="AZ39" i="18"/>
  <c r="AZ40" i="18"/>
  <c r="AZ41" i="18"/>
  <c r="AZ42" i="18"/>
  <c r="AZ43" i="18"/>
  <c r="AZ44" i="18"/>
  <c r="AZ45" i="18"/>
  <c r="AZ46" i="18"/>
  <c r="AZ47" i="18"/>
  <c r="AZ48" i="18"/>
  <c r="AZ49" i="18"/>
  <c r="AZ50" i="18"/>
  <c r="AZ51" i="18"/>
  <c r="AZ52" i="18"/>
  <c r="AZ53" i="18"/>
  <c r="AZ54" i="18"/>
  <c r="AZ55" i="18"/>
  <c r="AZ56" i="18"/>
  <c r="AZ73" i="18"/>
  <c r="AZ80" i="18"/>
  <c r="AZ81" i="18"/>
  <c r="AZ83" i="18"/>
  <c r="AZ84" i="18"/>
  <c r="AZ88" i="18"/>
  <c r="AZ99" i="18"/>
  <c r="D40" i="10"/>
  <c r="P40" i="10"/>
  <c r="D44" i="10"/>
  <c r="P44" i="10"/>
  <c r="D45" i="10"/>
  <c r="P45" i="10"/>
  <c r="AW35" i="15" l="1"/>
  <c r="L30" i="14"/>
  <c r="AW34" i="15"/>
  <c r="L29" i="14"/>
  <c r="AW33" i="15"/>
  <c r="L28" i="14"/>
  <c r="G30" i="15"/>
  <c r="G24" i="15" s="1"/>
  <c r="Q78" i="12"/>
  <c r="J78" i="12"/>
  <c r="R46" i="10" l="1"/>
  <c r="S46" i="10"/>
  <c r="V46" i="12"/>
  <c r="H46" i="12"/>
  <c r="K46" i="12"/>
  <c r="Q46" i="12"/>
  <c r="R46" i="12"/>
  <c r="P47" i="10"/>
  <c r="D51" i="10"/>
  <c r="G46" i="12" l="1"/>
  <c r="D46" i="12"/>
  <c r="I46" i="12"/>
  <c r="S46" i="12" s="1"/>
  <c r="U46" i="12" l="1"/>
  <c r="T46" i="12"/>
  <c r="G26" i="12"/>
  <c r="G27" i="12"/>
  <c r="G49" i="12"/>
  <c r="G50" i="12"/>
  <c r="G51" i="12"/>
  <c r="G52" i="12"/>
  <c r="G53" i="12"/>
  <c r="G69" i="12"/>
  <c r="G70" i="12"/>
  <c r="G71" i="12"/>
  <c r="G72" i="12"/>
  <c r="G73" i="12"/>
  <c r="G74" i="12"/>
  <c r="G75" i="12"/>
  <c r="G76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E99" i="12"/>
  <c r="E26" i="12" s="1"/>
  <c r="E90" i="10"/>
  <c r="E89" i="10"/>
  <c r="D30" i="10"/>
  <c r="D29" i="10" s="1"/>
  <c r="D23" i="10" s="1"/>
  <c r="D88" i="10"/>
  <c r="D86" i="10" s="1"/>
  <c r="D28" i="10" s="1"/>
  <c r="D64" i="10"/>
  <c r="D63" i="10"/>
  <c r="AC48" i="17"/>
  <c r="Z48" i="17"/>
  <c r="AD107" i="17"/>
  <c r="AD108" i="17"/>
  <c r="AD109" i="17"/>
  <c r="AD110" i="17"/>
  <c r="AD111" i="17"/>
  <c r="AD106" i="17"/>
  <c r="AC106" i="17"/>
  <c r="BB82" i="17"/>
  <c r="BA82" i="17"/>
  <c r="BA81" i="17"/>
  <c r="BB81" i="17"/>
  <c r="AB82" i="17"/>
  <c r="AB81" i="17"/>
  <c r="M83" i="17"/>
  <c r="L83" i="17"/>
  <c r="AD83" i="17"/>
  <c r="AT79" i="17"/>
  <c r="AO79" i="17"/>
  <c r="AJ79" i="17"/>
  <c r="AI79" i="17"/>
  <c r="AH79" i="17"/>
  <c r="AG79" i="17"/>
  <c r="Y79" i="17"/>
  <c r="T79" i="17"/>
  <c r="O79" i="17"/>
  <c r="J79" i="17"/>
  <c r="I79" i="17"/>
  <c r="H79" i="17"/>
  <c r="G79" i="17"/>
  <c r="F79" i="17"/>
  <c r="AR53" i="17"/>
  <c r="AQ53" i="17"/>
  <c r="AW52" i="17"/>
  <c r="AV52" i="17"/>
  <c r="AU52" i="17"/>
  <c r="AW51" i="17"/>
  <c r="AV51" i="17"/>
  <c r="AU51" i="17"/>
  <c r="AW50" i="17"/>
  <c r="AV50" i="17"/>
  <c r="AU50" i="17"/>
  <c r="AM49" i="17"/>
  <c r="AL49" i="17"/>
  <c r="AK49" i="17"/>
  <c r="BB54" i="17"/>
  <c r="BA54" i="17"/>
  <c r="AQ37" i="17"/>
  <c r="AR37" i="17"/>
  <c r="R37" i="17"/>
  <c r="H37" i="17" s="1"/>
  <c r="Q37" i="17"/>
  <c r="G37" i="17" s="1"/>
  <c r="AB48" i="17"/>
  <c r="Y54" i="17"/>
  <c r="Y50" i="17"/>
  <c r="Y51" i="17"/>
  <c r="Y52" i="17"/>
  <c r="Y53" i="17"/>
  <c r="Y55" i="17"/>
  <c r="Y49" i="17"/>
  <c r="R53" i="17"/>
  <c r="J50" i="17"/>
  <c r="J53" i="17"/>
  <c r="BB46" i="17"/>
  <c r="BA46" i="17"/>
  <c r="AZ46" i="17"/>
  <c r="AY46" i="17" s="1"/>
  <c r="BB45" i="17"/>
  <c r="BA45" i="17"/>
  <c r="AZ45" i="17"/>
  <c r="O46" i="17"/>
  <c r="T46" i="17"/>
  <c r="Y34" i="17"/>
  <c r="Y35" i="17"/>
  <c r="Y36" i="17"/>
  <c r="Y37" i="17"/>
  <c r="Y38" i="17"/>
  <c r="Y39" i="17"/>
  <c r="Y40" i="17"/>
  <c r="Y41" i="17"/>
  <c r="Y42" i="17"/>
  <c r="Y33" i="17"/>
  <c r="BB44" i="17"/>
  <c r="BA44" i="17"/>
  <c r="AZ44" i="17"/>
  <c r="BB43" i="17"/>
  <c r="BA43" i="17"/>
  <c r="AZ43" i="17"/>
  <c r="AY43" i="17" s="1"/>
  <c r="AW42" i="17"/>
  <c r="AV42" i="17"/>
  <c r="AU42" i="17"/>
  <c r="AV41" i="17"/>
  <c r="AR41" i="17"/>
  <c r="AK41" i="17"/>
  <c r="AW40" i="17"/>
  <c r="AV40" i="17"/>
  <c r="AU40" i="17"/>
  <c r="AW39" i="17"/>
  <c r="AV39" i="17"/>
  <c r="AK37" i="17"/>
  <c r="AW36" i="17"/>
  <c r="AV36" i="17"/>
  <c r="AU36" i="17"/>
  <c r="AR35" i="17"/>
  <c r="AQ35" i="17"/>
  <c r="AP35" i="17"/>
  <c r="AL34" i="17"/>
  <c r="AM34" i="17"/>
  <c r="AQ33" i="17"/>
  <c r="Q33" i="17"/>
  <c r="AR33" i="17"/>
  <c r="AP33" i="17"/>
  <c r="AZ34" i="17"/>
  <c r="BA34" i="17"/>
  <c r="BB34" i="17"/>
  <c r="BC34" i="17"/>
  <c r="AZ35" i="17"/>
  <c r="BA35" i="17"/>
  <c r="BB35" i="17"/>
  <c r="BC35" i="17"/>
  <c r="AZ36" i="17"/>
  <c r="BA36" i="17"/>
  <c r="BB36" i="17"/>
  <c r="BC36" i="17"/>
  <c r="AZ37" i="17"/>
  <c r="BA37" i="17"/>
  <c r="BB37" i="17"/>
  <c r="BC37" i="17"/>
  <c r="AZ38" i="17"/>
  <c r="BA38" i="17"/>
  <c r="BB38" i="17"/>
  <c r="BC38" i="17"/>
  <c r="AZ39" i="17"/>
  <c r="BA39" i="17"/>
  <c r="BB39" i="17"/>
  <c r="BC39" i="17"/>
  <c r="AZ40" i="17"/>
  <c r="BA40" i="17"/>
  <c r="BB40" i="17"/>
  <c r="BC40" i="17"/>
  <c r="AZ41" i="17"/>
  <c r="BA41" i="17"/>
  <c r="BB41" i="17"/>
  <c r="BC41" i="17"/>
  <c r="AZ42" i="17"/>
  <c r="BA42" i="17"/>
  <c r="BB42" i="17"/>
  <c r="BC42" i="17"/>
  <c r="BA47" i="17"/>
  <c r="BB47" i="17"/>
  <c r="BC47" i="17"/>
  <c r="BA33" i="17"/>
  <c r="BA32" i="17" s="1"/>
  <c r="BB33" i="17"/>
  <c r="BC33" i="17"/>
  <c r="AZ33" i="17"/>
  <c r="AU34" i="17"/>
  <c r="AV34" i="17"/>
  <c r="AW34" i="17"/>
  <c r="AX34" i="17"/>
  <c r="AU35" i="17"/>
  <c r="AV35" i="17"/>
  <c r="AW35" i="17"/>
  <c r="AX35" i="17"/>
  <c r="AU37" i="17"/>
  <c r="AV37" i="17"/>
  <c r="AW37" i="17"/>
  <c r="AX37" i="17"/>
  <c r="AU38" i="17"/>
  <c r="AV38" i="17"/>
  <c r="AW38" i="17"/>
  <c r="AX38" i="17"/>
  <c r="AU41" i="17"/>
  <c r="AW41" i="17"/>
  <c r="AX41" i="17"/>
  <c r="AU43" i="17"/>
  <c r="AV43" i="17"/>
  <c r="AW43" i="17"/>
  <c r="AX43" i="17"/>
  <c r="AU44" i="17"/>
  <c r="AV44" i="17"/>
  <c r="AW44" i="17"/>
  <c r="AX44" i="17"/>
  <c r="AU45" i="17"/>
  <c r="AV45" i="17"/>
  <c r="AW45" i="17"/>
  <c r="AX45" i="17"/>
  <c r="AU46" i="17"/>
  <c r="AV46" i="17"/>
  <c r="AW46" i="17"/>
  <c r="AX46" i="17"/>
  <c r="AU47" i="17"/>
  <c r="AV47" i="17"/>
  <c r="AW47" i="17"/>
  <c r="AX47" i="17"/>
  <c r="AV33" i="17"/>
  <c r="AW33" i="17"/>
  <c r="AX33" i="17"/>
  <c r="AU33" i="17"/>
  <c r="AP34" i="17"/>
  <c r="AQ34" i="17"/>
  <c r="AR34" i="17"/>
  <c r="AS34" i="17"/>
  <c r="AP36" i="17"/>
  <c r="AQ36" i="17"/>
  <c r="AR36" i="17"/>
  <c r="AS36" i="17"/>
  <c r="AQ38" i="17"/>
  <c r="AR38" i="17"/>
  <c r="AS38" i="17"/>
  <c r="AP39" i="17"/>
  <c r="AQ39" i="17"/>
  <c r="AR39" i="17"/>
  <c r="AS39" i="17"/>
  <c r="AP40" i="17"/>
  <c r="AQ40" i="17"/>
  <c r="AR40" i="17"/>
  <c r="AS40" i="17"/>
  <c r="AP41" i="17"/>
  <c r="AQ41" i="17"/>
  <c r="AS41" i="17"/>
  <c r="AP42" i="17"/>
  <c r="AQ42" i="17"/>
  <c r="AR42" i="17"/>
  <c r="AS42" i="17"/>
  <c r="AP43" i="17"/>
  <c r="AQ43" i="17"/>
  <c r="AR43" i="17"/>
  <c r="AS43" i="17"/>
  <c r="AP44" i="17"/>
  <c r="AQ44" i="17"/>
  <c r="AR44" i="17"/>
  <c r="AS44" i="17"/>
  <c r="AP45" i="17"/>
  <c r="AQ45" i="17"/>
  <c r="AR45" i="17"/>
  <c r="AS45" i="17"/>
  <c r="AP46" i="17"/>
  <c r="AQ46" i="17"/>
  <c r="AR46" i="17"/>
  <c r="AS46" i="17"/>
  <c r="AP47" i="17"/>
  <c r="AQ47" i="17"/>
  <c r="AR47" i="17"/>
  <c r="AS47" i="17"/>
  <c r="AK35" i="17"/>
  <c r="AL35" i="17"/>
  <c r="AM35" i="17"/>
  <c r="AN35" i="17"/>
  <c r="AK36" i="17"/>
  <c r="AL36" i="17"/>
  <c r="AM36" i="17"/>
  <c r="AN36" i="17"/>
  <c r="AL37" i="17"/>
  <c r="AM37" i="17"/>
  <c r="AN37" i="17"/>
  <c r="AL38" i="17"/>
  <c r="AM38" i="17"/>
  <c r="AN38" i="17"/>
  <c r="AK39" i="17"/>
  <c r="AL39" i="17"/>
  <c r="AM39" i="17"/>
  <c r="AN39" i="17"/>
  <c r="AK40" i="17"/>
  <c r="AL40" i="17"/>
  <c r="AM40" i="17"/>
  <c r="AN40" i="17"/>
  <c r="AL41" i="17"/>
  <c r="AM41" i="17"/>
  <c r="AN41" i="17"/>
  <c r="AL42" i="17"/>
  <c r="AM42" i="17"/>
  <c r="AH42" i="17" s="1"/>
  <c r="AN42" i="17"/>
  <c r="AI42" i="17" s="1"/>
  <c r="AL43" i="17"/>
  <c r="AM43" i="17"/>
  <c r="AN43" i="17"/>
  <c r="AK44" i="17"/>
  <c r="AL44" i="17"/>
  <c r="AM44" i="17"/>
  <c r="AN44" i="17"/>
  <c r="AK45" i="17"/>
  <c r="AL45" i="17"/>
  <c r="AM45" i="17"/>
  <c r="AN45" i="17"/>
  <c r="AL46" i="17"/>
  <c r="AM46" i="17"/>
  <c r="AN46" i="17"/>
  <c r="AL33" i="17"/>
  <c r="AM33" i="17"/>
  <c r="AN33" i="17"/>
  <c r="AK33" i="17"/>
  <c r="Y47" i="17"/>
  <c r="AB46" i="17"/>
  <c r="H46" i="17" s="1"/>
  <c r="AA46" i="17"/>
  <c r="G46" i="17" s="1"/>
  <c r="AB45" i="17"/>
  <c r="H45" i="17" s="1"/>
  <c r="AA45" i="17"/>
  <c r="G45" i="17" s="1"/>
  <c r="AB44" i="17"/>
  <c r="H44" i="17" s="1"/>
  <c r="AA44" i="17"/>
  <c r="G44" i="17" s="1"/>
  <c r="Z44" i="17"/>
  <c r="Z43" i="17"/>
  <c r="Z32" i="17" s="1"/>
  <c r="AB43" i="17"/>
  <c r="AB32" i="17" s="1"/>
  <c r="AA43" i="17"/>
  <c r="W42" i="17"/>
  <c r="V42" i="17"/>
  <c r="G42" i="17" s="1"/>
  <c r="U42" i="17"/>
  <c r="T42" i="17" s="1"/>
  <c r="O42" i="17"/>
  <c r="K42" i="17"/>
  <c r="J42" i="17" s="1"/>
  <c r="I42" i="17"/>
  <c r="H42" i="17"/>
  <c r="T43" i="17"/>
  <c r="O43" i="17"/>
  <c r="K43" i="17"/>
  <c r="AK43" i="17" s="1"/>
  <c r="I43" i="17"/>
  <c r="G43" i="17"/>
  <c r="T44" i="17"/>
  <c r="O44" i="17"/>
  <c r="I44" i="17"/>
  <c r="T45" i="17"/>
  <c r="O45" i="17"/>
  <c r="J45" i="17"/>
  <c r="I45" i="17"/>
  <c r="K46" i="17"/>
  <c r="AK46" i="17" s="1"/>
  <c r="I46" i="17"/>
  <c r="K41" i="17"/>
  <c r="F41" i="17" s="1"/>
  <c r="R41" i="17"/>
  <c r="H41" i="17" s="1"/>
  <c r="V40" i="17"/>
  <c r="W40" i="17"/>
  <c r="U40" i="17"/>
  <c r="F40" i="17" s="1"/>
  <c r="K37" i="17"/>
  <c r="F34" i="17"/>
  <c r="I34" i="17"/>
  <c r="G35" i="17"/>
  <c r="I35" i="17"/>
  <c r="I36" i="17"/>
  <c r="I37" i="17"/>
  <c r="G38" i="17"/>
  <c r="H38" i="17"/>
  <c r="I38" i="17"/>
  <c r="F39" i="17"/>
  <c r="I39" i="17"/>
  <c r="G40" i="17"/>
  <c r="H40" i="17"/>
  <c r="I40" i="17"/>
  <c r="G41" i="17"/>
  <c r="I41" i="17"/>
  <c r="G47" i="17"/>
  <c r="H47" i="17"/>
  <c r="I47" i="17"/>
  <c r="I33" i="17"/>
  <c r="U36" i="17"/>
  <c r="O36" i="17"/>
  <c r="AU51" i="15"/>
  <c r="AV51" i="15"/>
  <c r="AX51" i="15"/>
  <c r="AY51" i="15"/>
  <c r="AZ51" i="15"/>
  <c r="BA51" i="15"/>
  <c r="BB51" i="15"/>
  <c r="BC51" i="15"/>
  <c r="BE51" i="15"/>
  <c r="BF51" i="15"/>
  <c r="BG51" i="15"/>
  <c r="BH51" i="15"/>
  <c r="BI51" i="15"/>
  <c r="BJ51" i="15"/>
  <c r="BL51" i="15"/>
  <c r="BM51" i="15"/>
  <c r="BN51" i="15"/>
  <c r="BO51" i="15"/>
  <c r="BP51" i="15"/>
  <c r="BQ51" i="15"/>
  <c r="BS51" i="15"/>
  <c r="BT51" i="15"/>
  <c r="BU51" i="15"/>
  <c r="BV51" i="15"/>
  <c r="AW86" i="15"/>
  <c r="CD82" i="15"/>
  <c r="AT82" i="15"/>
  <c r="CC82" i="15" s="1"/>
  <c r="AS82" i="15"/>
  <c r="CB82" i="15" s="1"/>
  <c r="AR82" i="15"/>
  <c r="CA82" i="15" s="1"/>
  <c r="AQ82" i="15"/>
  <c r="BZ82" i="15" s="1"/>
  <c r="AO82" i="15"/>
  <c r="BX82" i="15" s="1"/>
  <c r="AN82" i="15"/>
  <c r="BW82" i="15" s="1"/>
  <c r="AU32" i="15"/>
  <c r="AV32" i="15"/>
  <c r="AX32" i="15"/>
  <c r="AY32" i="15"/>
  <c r="AZ32" i="15"/>
  <c r="BA32" i="15"/>
  <c r="BB32" i="15"/>
  <c r="BC32" i="15"/>
  <c r="BE32" i="15"/>
  <c r="BF32" i="15"/>
  <c r="BG32" i="15"/>
  <c r="BH32" i="15"/>
  <c r="BI32" i="15"/>
  <c r="BJ32" i="15"/>
  <c r="BL32" i="15"/>
  <c r="BM32" i="15"/>
  <c r="BN32" i="15"/>
  <c r="BO32" i="15"/>
  <c r="BP32" i="15"/>
  <c r="BQ32" i="15"/>
  <c r="BS32" i="15"/>
  <c r="BT32" i="15"/>
  <c r="BU32" i="15"/>
  <c r="BV32" i="15"/>
  <c r="G81" i="15"/>
  <c r="G80" i="15" s="1"/>
  <c r="G25" i="15" s="1"/>
  <c r="G23" i="15" s="1"/>
  <c r="L32" i="15"/>
  <c r="M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AK32" i="15"/>
  <c r="AL32" i="15"/>
  <c r="AM32" i="15"/>
  <c r="N37" i="15"/>
  <c r="G37" i="15" s="1"/>
  <c r="N38" i="15"/>
  <c r="G38" i="15" s="1"/>
  <c r="N39" i="15"/>
  <c r="G39" i="15" s="1"/>
  <c r="N40" i="15"/>
  <c r="G40" i="15" s="1"/>
  <c r="N41" i="15"/>
  <c r="G41" i="15" s="1"/>
  <c r="N42" i="15"/>
  <c r="G42" i="15" s="1"/>
  <c r="N43" i="15"/>
  <c r="G43" i="15" s="1"/>
  <c r="N44" i="15"/>
  <c r="G44" i="15" s="1"/>
  <c r="N45" i="15"/>
  <c r="G45" i="15" s="1"/>
  <c r="N46" i="15"/>
  <c r="G46" i="15" s="1"/>
  <c r="N47" i="15"/>
  <c r="G47" i="15" s="1"/>
  <c r="N48" i="15"/>
  <c r="G48" i="15" s="1"/>
  <c r="N49" i="15"/>
  <c r="G49" i="15" s="1"/>
  <c r="N50" i="15"/>
  <c r="G50" i="15" s="1"/>
  <c r="N51" i="15"/>
  <c r="G51" i="15" s="1"/>
  <c r="N52" i="15"/>
  <c r="G52" i="15" s="1"/>
  <c r="N53" i="15"/>
  <c r="N54" i="15"/>
  <c r="G54" i="15" s="1"/>
  <c r="N55" i="15"/>
  <c r="G55" i="15" s="1"/>
  <c r="N56" i="15"/>
  <c r="N57" i="15"/>
  <c r="G57" i="15" s="1"/>
  <c r="N36" i="15"/>
  <c r="G36" i="15" s="1"/>
  <c r="CD45" i="15"/>
  <c r="CD46" i="15"/>
  <c r="CD47" i="15"/>
  <c r="CD48" i="15"/>
  <c r="CD49" i="15"/>
  <c r="V48" i="14"/>
  <c r="V49" i="14"/>
  <c r="V50" i="14"/>
  <c r="V51" i="14"/>
  <c r="V52" i="14"/>
  <c r="V47" i="14"/>
  <c r="O46" i="14"/>
  <c r="P46" i="14"/>
  <c r="R46" i="14"/>
  <c r="S46" i="14"/>
  <c r="T46" i="14"/>
  <c r="U46" i="14"/>
  <c r="W46" i="14"/>
  <c r="X46" i="14"/>
  <c r="Y46" i="14"/>
  <c r="Z46" i="14"/>
  <c r="AB46" i="14"/>
  <c r="AC46" i="14"/>
  <c r="AD46" i="14"/>
  <c r="AE46" i="14"/>
  <c r="AG46" i="14"/>
  <c r="AH46" i="14"/>
  <c r="O27" i="14"/>
  <c r="P27" i="14"/>
  <c r="R27" i="14"/>
  <c r="S27" i="14"/>
  <c r="T27" i="14"/>
  <c r="U27" i="14"/>
  <c r="W27" i="14"/>
  <c r="X27" i="14"/>
  <c r="Y27" i="14"/>
  <c r="Z27" i="14"/>
  <c r="AB27" i="14"/>
  <c r="AC27" i="14"/>
  <c r="AD27" i="14"/>
  <c r="AE27" i="14"/>
  <c r="AG27" i="14"/>
  <c r="AH27" i="14"/>
  <c r="AF78" i="14"/>
  <c r="BR83" i="15" s="1"/>
  <c r="AF79" i="14"/>
  <c r="BR84" i="15" s="1"/>
  <c r="AF80" i="14"/>
  <c r="BR85" i="15" s="1"/>
  <c r="AF81" i="14"/>
  <c r="BR86" i="15" s="1"/>
  <c r="AF77" i="14"/>
  <c r="BR82" i="15" s="1"/>
  <c r="AA78" i="14"/>
  <c r="BK83" i="15" s="1"/>
  <c r="AA79" i="14"/>
  <c r="BK84" i="15" s="1"/>
  <c r="AA80" i="14"/>
  <c r="BK85" i="15" s="1"/>
  <c r="AA81" i="14"/>
  <c r="BK86" i="15" s="1"/>
  <c r="AA77" i="14"/>
  <c r="V78" i="14"/>
  <c r="BD83" i="15" s="1"/>
  <c r="V79" i="14"/>
  <c r="BD84" i="15" s="1"/>
  <c r="V80" i="14"/>
  <c r="BD85" i="15" s="1"/>
  <c r="V81" i="14"/>
  <c r="BD86" i="15" s="1"/>
  <c r="V77" i="14"/>
  <c r="BD82" i="15" s="1"/>
  <c r="Q78" i="14"/>
  <c r="AW82" i="15" s="1"/>
  <c r="Q79" i="14"/>
  <c r="AW83" i="15" s="1"/>
  <c r="Q80" i="14"/>
  <c r="AW84" i="15" s="1"/>
  <c r="Q81" i="14"/>
  <c r="AW85" i="15" s="1"/>
  <c r="Q77" i="14"/>
  <c r="AW81" i="15" s="1"/>
  <c r="G81" i="14"/>
  <c r="N77" i="14"/>
  <c r="M77" i="14"/>
  <c r="K77" i="14"/>
  <c r="J77" i="14"/>
  <c r="AF48" i="14"/>
  <c r="BR53" i="15" s="1"/>
  <c r="AF49" i="14"/>
  <c r="BR54" i="15" s="1"/>
  <c r="AF50" i="14"/>
  <c r="BR55" i="15" s="1"/>
  <c r="AF51" i="14"/>
  <c r="AF52" i="14"/>
  <c r="BR57" i="15" s="1"/>
  <c r="AF47" i="14"/>
  <c r="BR52" i="15" s="1"/>
  <c r="AA48" i="14"/>
  <c r="BK53" i="15" s="1"/>
  <c r="AA49" i="14"/>
  <c r="BK54" i="15" s="1"/>
  <c r="AA50" i="14"/>
  <c r="AA51" i="14"/>
  <c r="AA52" i="14"/>
  <c r="BK57" i="15" s="1"/>
  <c r="AA47" i="14"/>
  <c r="Q48" i="14"/>
  <c r="Q49" i="14"/>
  <c r="Q50" i="14"/>
  <c r="Q51" i="14"/>
  <c r="Q52" i="14"/>
  <c r="Q47" i="14"/>
  <c r="AF32" i="14"/>
  <c r="BR37" i="15" s="1"/>
  <c r="AF33" i="14"/>
  <c r="BR38" i="15" s="1"/>
  <c r="AF34" i="14"/>
  <c r="BR39" i="15" s="1"/>
  <c r="AF35" i="14"/>
  <c r="BR40" i="15" s="1"/>
  <c r="AF36" i="14"/>
  <c r="BR41" i="15" s="1"/>
  <c r="AF37" i="14"/>
  <c r="BR42" i="15" s="1"/>
  <c r="AF38" i="14"/>
  <c r="BR43" i="15" s="1"/>
  <c r="AF39" i="14"/>
  <c r="BR44" i="15" s="1"/>
  <c r="AF40" i="14"/>
  <c r="BR45" i="15" s="1"/>
  <c r="AF41" i="14"/>
  <c r="BR46" i="15" s="1"/>
  <c r="AF42" i="14"/>
  <c r="BR47" i="15" s="1"/>
  <c r="AF43" i="14"/>
  <c r="BR48" i="15" s="1"/>
  <c r="AF44" i="14"/>
  <c r="BR49" i="15" s="1"/>
  <c r="AF45" i="14"/>
  <c r="BR50" i="15" s="1"/>
  <c r="AF31" i="14"/>
  <c r="AA32" i="14"/>
  <c r="AA33" i="14"/>
  <c r="AA34" i="14"/>
  <c r="AA35" i="14"/>
  <c r="AA36" i="14"/>
  <c r="AA37" i="14"/>
  <c r="AA38" i="14"/>
  <c r="AA39" i="14"/>
  <c r="AA40" i="14"/>
  <c r="BK45" i="15" s="1"/>
  <c r="AA41" i="14"/>
  <c r="BK46" i="15" s="1"/>
  <c r="AA42" i="14"/>
  <c r="BK47" i="15" s="1"/>
  <c r="AA43" i="14"/>
  <c r="BK48" i="15" s="1"/>
  <c r="AA44" i="14"/>
  <c r="BK49" i="15" s="1"/>
  <c r="AA45" i="14"/>
  <c r="AA31" i="14"/>
  <c r="V32" i="14"/>
  <c r="V33" i="14"/>
  <c r="V34" i="14"/>
  <c r="V35" i="14"/>
  <c r="V36" i="14"/>
  <c r="V37" i="14"/>
  <c r="V38" i="14"/>
  <c r="V39" i="14"/>
  <c r="V40" i="14"/>
  <c r="BD45" i="15" s="1"/>
  <c r="V41" i="14"/>
  <c r="BD46" i="15" s="1"/>
  <c r="V42" i="14"/>
  <c r="BD47" i="15" s="1"/>
  <c r="V43" i="14"/>
  <c r="BD48" i="15" s="1"/>
  <c r="V44" i="14"/>
  <c r="BD49" i="15" s="1"/>
  <c r="V45" i="14"/>
  <c r="V31" i="14"/>
  <c r="Q32" i="14"/>
  <c r="L32" i="14" s="1"/>
  <c r="Q33" i="14"/>
  <c r="Q34" i="14"/>
  <c r="Q35" i="14"/>
  <c r="Q36" i="14"/>
  <c r="L36" i="14" s="1"/>
  <c r="Q37" i="14"/>
  <c r="Q38" i="14"/>
  <c r="Q39" i="14"/>
  <c r="Q40" i="14"/>
  <c r="Q41" i="14"/>
  <c r="Q42" i="14"/>
  <c r="Q43" i="14"/>
  <c r="Q44" i="14"/>
  <c r="Q45" i="14"/>
  <c r="Q31" i="14"/>
  <c r="BQ86" i="13"/>
  <c r="BQ85" i="13"/>
  <c r="BQ82" i="13" s="1"/>
  <c r="AT83" i="13"/>
  <c r="AS83" i="13"/>
  <c r="AR83" i="13"/>
  <c r="AQ83" i="13"/>
  <c r="AP83" i="13"/>
  <c r="AN83" i="13"/>
  <c r="K83" i="13"/>
  <c r="J83" i="13"/>
  <c r="I83" i="13"/>
  <c r="G77" i="14" s="1"/>
  <c r="H83" i="13"/>
  <c r="G83" i="13"/>
  <c r="E83" i="13"/>
  <c r="AW52" i="13"/>
  <c r="AX52" i="13"/>
  <c r="AY52" i="13"/>
  <c r="AZ52" i="13"/>
  <c r="BA52" i="13"/>
  <c r="BB52" i="13"/>
  <c r="BD52" i="13"/>
  <c r="BE52" i="13"/>
  <c r="BF52" i="13"/>
  <c r="BG52" i="13"/>
  <c r="BH52" i="13"/>
  <c r="BI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AU52" i="13"/>
  <c r="AW33" i="13"/>
  <c r="AX33" i="13"/>
  <c r="AY33" i="13"/>
  <c r="AZ33" i="13"/>
  <c r="BA33" i="13"/>
  <c r="BB33" i="13"/>
  <c r="BD33" i="13"/>
  <c r="BE33" i="13"/>
  <c r="BF33" i="13"/>
  <c r="BG33" i="13"/>
  <c r="BH33" i="13"/>
  <c r="BI33" i="13"/>
  <c r="BK33" i="13"/>
  <c r="BL33" i="13"/>
  <c r="BM33" i="13"/>
  <c r="BN33" i="13"/>
  <c r="BO33" i="13"/>
  <c r="BP33" i="13"/>
  <c r="BQ33" i="13"/>
  <c r="BR33" i="13"/>
  <c r="BS33" i="13"/>
  <c r="BU33" i="13"/>
  <c r="BV33" i="13"/>
  <c r="AU33" i="13"/>
  <c r="BC54" i="13"/>
  <c r="AO54" i="13" s="1"/>
  <c r="BY54" i="13" s="1"/>
  <c r="AT54" i="13"/>
  <c r="AS54" i="13"/>
  <c r="AR54" i="13"/>
  <c r="AQ54" i="13"/>
  <c r="AP54" i="13"/>
  <c r="BJ46" i="13"/>
  <c r="BC46" i="13"/>
  <c r="AT46" i="13"/>
  <c r="AS46" i="13"/>
  <c r="AR46" i="13"/>
  <c r="AQ46" i="13"/>
  <c r="AP46" i="13"/>
  <c r="AN46" i="13"/>
  <c r="BJ47" i="13"/>
  <c r="BC47" i="13"/>
  <c r="AT47" i="13"/>
  <c r="AS47" i="13"/>
  <c r="AR47" i="13"/>
  <c r="AQ47" i="13"/>
  <c r="AP47" i="13"/>
  <c r="AN47" i="13"/>
  <c r="BJ48" i="13"/>
  <c r="BC48" i="13"/>
  <c r="AT48" i="13"/>
  <c r="AS48" i="13"/>
  <c r="AR48" i="13"/>
  <c r="AQ48" i="13"/>
  <c r="AP48" i="13"/>
  <c r="AN48" i="13"/>
  <c r="BJ49" i="13"/>
  <c r="AT49" i="13"/>
  <c r="AS49" i="13"/>
  <c r="AR49" i="13"/>
  <c r="AQ49" i="13"/>
  <c r="AP49" i="13"/>
  <c r="AN49" i="13"/>
  <c r="BJ50" i="13"/>
  <c r="BC50" i="13"/>
  <c r="AT50" i="13"/>
  <c r="AS50" i="13"/>
  <c r="AQ50" i="13"/>
  <c r="AP50" i="13"/>
  <c r="AN50" i="13"/>
  <c r="AI32" i="13"/>
  <c r="AI31" i="13" s="1"/>
  <c r="AI25" i="13" s="1"/>
  <c r="AI24" i="13" s="1"/>
  <c r="AJ32" i="13"/>
  <c r="AJ31" i="13" s="1"/>
  <c r="AJ25" i="13" s="1"/>
  <c r="AJ24" i="13" s="1"/>
  <c r="AK32" i="13"/>
  <c r="AL32" i="13"/>
  <c r="AL31" i="13" s="1"/>
  <c r="AL25" i="13" s="1"/>
  <c r="AL24" i="13" s="1"/>
  <c r="AM32" i="13"/>
  <c r="AM31" i="13" s="1"/>
  <c r="AM25" i="13" s="1"/>
  <c r="AM24" i="13" s="1"/>
  <c r="AH33" i="13"/>
  <c r="F33" i="13" s="1"/>
  <c r="F52" i="13"/>
  <c r="P79" i="12"/>
  <c r="Q81" i="12"/>
  <c r="P81" i="12"/>
  <c r="P80" i="12"/>
  <c r="Q80" i="12"/>
  <c r="I80" i="12" s="1"/>
  <c r="H79" i="12"/>
  <c r="D79" i="12" s="1"/>
  <c r="R79" i="12"/>
  <c r="I79" i="12"/>
  <c r="I108" i="12"/>
  <c r="U108" i="12" s="1"/>
  <c r="I109" i="12"/>
  <c r="U109" i="12" s="1"/>
  <c r="I110" i="12"/>
  <c r="U110" i="12" s="1"/>
  <c r="I107" i="12"/>
  <c r="U107" i="12" s="1"/>
  <c r="I105" i="12"/>
  <c r="U105" i="12" s="1"/>
  <c r="K109" i="12"/>
  <c r="H24" i="12"/>
  <c r="H28" i="12"/>
  <c r="Q40" i="12"/>
  <c r="Q39" i="12"/>
  <c r="M53" i="12"/>
  <c r="M36" i="12"/>
  <c r="Q45" i="12"/>
  <c r="Q44" i="12"/>
  <c r="Q43" i="12"/>
  <c r="Q42" i="12"/>
  <c r="V41" i="12"/>
  <c r="R41" i="12"/>
  <c r="Q41" i="12"/>
  <c r="K41" i="12"/>
  <c r="H41" i="12"/>
  <c r="V42" i="12"/>
  <c r="R42" i="12"/>
  <c r="K42" i="12"/>
  <c r="I42" i="12" s="1"/>
  <c r="H42" i="12"/>
  <c r="V43" i="12"/>
  <c r="R43" i="12"/>
  <c r="K43" i="12"/>
  <c r="H43" i="12"/>
  <c r="V44" i="12"/>
  <c r="R44" i="12"/>
  <c r="K44" i="12"/>
  <c r="H44" i="12"/>
  <c r="V45" i="12"/>
  <c r="R45" i="12"/>
  <c r="K45" i="12"/>
  <c r="H45" i="12"/>
  <c r="X45" i="11"/>
  <c r="X44" i="11"/>
  <c r="X43" i="11"/>
  <c r="X41" i="11"/>
  <c r="X42" i="11"/>
  <c r="G31" i="11"/>
  <c r="H99" i="11"/>
  <c r="H26" i="11" s="1"/>
  <c r="H81" i="11"/>
  <c r="X79" i="11"/>
  <c r="V79" i="11"/>
  <c r="R79" i="11"/>
  <c r="P79" i="11"/>
  <c r="D79" i="11"/>
  <c r="H80" i="11"/>
  <c r="F84" i="10"/>
  <c r="D83" i="10"/>
  <c r="F83" i="10" s="1"/>
  <c r="E59" i="10"/>
  <c r="F64" i="10"/>
  <c r="G62" i="10"/>
  <c r="G61" i="10"/>
  <c r="AZ76" i="18" s="1"/>
  <c r="G31" i="10"/>
  <c r="H52" i="10"/>
  <c r="H45" i="10"/>
  <c r="H44" i="10"/>
  <c r="H43" i="10"/>
  <c r="H42" i="10"/>
  <c r="H41" i="10"/>
  <c r="H39" i="10"/>
  <c r="R39" i="10" s="1"/>
  <c r="N36" i="10"/>
  <c r="P36" i="10"/>
  <c r="P31" i="10" s="1"/>
  <c r="G58" i="10"/>
  <c r="G57" i="10"/>
  <c r="P64" i="10"/>
  <c r="H64" i="10" s="1"/>
  <c r="G64" i="10"/>
  <c r="P63" i="10"/>
  <c r="G63" i="10"/>
  <c r="P62" i="10"/>
  <c r="H61" i="10"/>
  <c r="G65" i="10"/>
  <c r="D83" i="17" s="1"/>
  <c r="G84" i="10"/>
  <c r="G83" i="10"/>
  <c r="AZ97" i="18" s="1"/>
  <c r="P92" i="10"/>
  <c r="AC111" i="17" s="1"/>
  <c r="P91" i="10"/>
  <c r="AC110" i="17" s="1"/>
  <c r="J91" i="10"/>
  <c r="N110" i="17" s="1"/>
  <c r="P90" i="10"/>
  <c r="AC109" i="17" s="1"/>
  <c r="N90" i="10"/>
  <c r="X109" i="17" s="1"/>
  <c r="L90" i="10"/>
  <c r="S109" i="17" s="1"/>
  <c r="J90" i="10"/>
  <c r="K108" i="12" s="1"/>
  <c r="P89" i="10"/>
  <c r="Q107" i="12" s="1"/>
  <c r="N89" i="10"/>
  <c r="L89" i="10"/>
  <c r="S108" i="17" s="1"/>
  <c r="J89" i="10"/>
  <c r="N108" i="17" s="1"/>
  <c r="M87" i="10"/>
  <c r="K87" i="10"/>
  <c r="I87" i="10"/>
  <c r="G92" i="10"/>
  <c r="G91" i="10"/>
  <c r="F91" i="10" s="1"/>
  <c r="G90" i="10"/>
  <c r="F90" i="10" s="1"/>
  <c r="G89" i="10"/>
  <c r="F89" i="10" s="1"/>
  <c r="L35" i="14" l="1"/>
  <c r="R44" i="10"/>
  <c r="Q44" i="10"/>
  <c r="L31" i="14"/>
  <c r="L38" i="14"/>
  <c r="L34" i="14"/>
  <c r="L39" i="14"/>
  <c r="R45" i="10"/>
  <c r="Q45" i="10"/>
  <c r="L45" i="14"/>
  <c r="L37" i="14"/>
  <c r="L33" i="14"/>
  <c r="AW48" i="15"/>
  <c r="L43" i="14"/>
  <c r="AW46" i="15"/>
  <c r="L41" i="14"/>
  <c r="AW49" i="15"/>
  <c r="L44" i="14"/>
  <c r="AW47" i="15"/>
  <c r="L42" i="14"/>
  <c r="AW45" i="15"/>
  <c r="L40" i="14"/>
  <c r="AY81" i="17"/>
  <c r="S43" i="10"/>
  <c r="R43" i="10"/>
  <c r="G110" i="11"/>
  <c r="F92" i="10"/>
  <c r="F88" i="10" s="1"/>
  <c r="D33" i="13"/>
  <c r="S41" i="10"/>
  <c r="R41" i="10"/>
  <c r="G45" i="12"/>
  <c r="D45" i="12"/>
  <c r="G41" i="12"/>
  <c r="D41" i="12"/>
  <c r="G44" i="12"/>
  <c r="D44" i="12"/>
  <c r="G43" i="12"/>
  <c r="D43" i="12"/>
  <c r="G42" i="12"/>
  <c r="D42" i="12"/>
  <c r="S42" i="10"/>
  <c r="R42" i="10"/>
  <c r="D52" i="10"/>
  <c r="Q52" i="10" s="1"/>
  <c r="R52" i="10"/>
  <c r="G28" i="12"/>
  <c r="D28" i="12"/>
  <c r="G24" i="12"/>
  <c r="D24" i="12"/>
  <c r="D52" i="13"/>
  <c r="H31" i="12"/>
  <c r="D31" i="12" s="1"/>
  <c r="AZ34" i="18"/>
  <c r="D102" i="17"/>
  <c r="AZ98" i="18"/>
  <c r="F63" i="10"/>
  <c r="AZ78" i="18"/>
  <c r="D74" i="17"/>
  <c r="AZ71" i="18"/>
  <c r="I32" i="17"/>
  <c r="D75" i="17"/>
  <c r="AZ72" i="18"/>
  <c r="F62" i="10"/>
  <c r="D62" i="10" s="1"/>
  <c r="AZ77" i="18"/>
  <c r="F37" i="17"/>
  <c r="AH44" i="17"/>
  <c r="BC32" i="17"/>
  <c r="G33" i="17"/>
  <c r="Q32" i="17"/>
  <c r="AY45" i="17"/>
  <c r="F36" i="17"/>
  <c r="U32" i="17"/>
  <c r="AY33" i="17"/>
  <c r="AZ32" i="17"/>
  <c r="D82" i="17"/>
  <c r="AZ79" i="18"/>
  <c r="AK31" i="13"/>
  <c r="AK25" i="13" s="1"/>
  <c r="AK24" i="13" s="1"/>
  <c r="I32" i="13"/>
  <c r="I31" i="13" s="1"/>
  <c r="I25" i="13" s="1"/>
  <c r="H43" i="17"/>
  <c r="AA32" i="17"/>
  <c r="Y32" i="17" s="1"/>
  <c r="BB32" i="17"/>
  <c r="AY47" i="17"/>
  <c r="AY42" i="17"/>
  <c r="AY41" i="17"/>
  <c r="AY40" i="17"/>
  <c r="AY39" i="17"/>
  <c r="AY38" i="17"/>
  <c r="AY37" i="17"/>
  <c r="AY36" i="17"/>
  <c r="AY35" i="17"/>
  <c r="AY34" i="17"/>
  <c r="AY44" i="17"/>
  <c r="AY54" i="17"/>
  <c r="BR36" i="15"/>
  <c r="BR32" i="15" s="1"/>
  <c r="AF27" i="14"/>
  <c r="N109" i="17"/>
  <c r="D81" i="17"/>
  <c r="G82" i="10"/>
  <c r="AZ96" i="18" s="1"/>
  <c r="AN52" i="13"/>
  <c r="N32" i="15"/>
  <c r="V27" i="14"/>
  <c r="L42" i="11"/>
  <c r="U42" i="11" s="1"/>
  <c r="L43" i="11"/>
  <c r="I43" i="11" s="1"/>
  <c r="O43" i="11" s="1"/>
  <c r="G109" i="11"/>
  <c r="E79" i="17"/>
  <c r="BB78" i="17"/>
  <c r="AC108" i="17"/>
  <c r="AA27" i="14"/>
  <c r="Q46" i="14"/>
  <c r="H77" i="11"/>
  <c r="I43" i="12"/>
  <c r="S43" i="12" s="1"/>
  <c r="I41" i="12"/>
  <c r="U41" i="12" s="1"/>
  <c r="Y44" i="17"/>
  <c r="AT45" i="17"/>
  <c r="AT44" i="17"/>
  <c r="AT43" i="17"/>
  <c r="AT42" i="17"/>
  <c r="BA78" i="17"/>
  <c r="D101" i="17"/>
  <c r="E88" i="10"/>
  <c r="D108" i="17"/>
  <c r="G107" i="11"/>
  <c r="S44" i="10"/>
  <c r="L44" i="11"/>
  <c r="U44" i="11" s="1"/>
  <c r="X108" i="17"/>
  <c r="O107" i="12"/>
  <c r="S45" i="10"/>
  <c r="L45" i="11"/>
  <c r="U45" i="11" s="1"/>
  <c r="L41" i="11"/>
  <c r="I41" i="11" s="1"/>
  <c r="O41" i="11" s="1"/>
  <c r="I44" i="12"/>
  <c r="U44" i="12" s="1"/>
  <c r="AV46" i="13"/>
  <c r="AO46" i="13" s="1"/>
  <c r="BY46" i="13" s="1"/>
  <c r="P88" i="10"/>
  <c r="AC107" i="17" s="1"/>
  <c r="AD80" i="17"/>
  <c r="G79" i="12"/>
  <c r="F84" i="13"/>
  <c r="Q109" i="12"/>
  <c r="M108" i="12"/>
  <c r="Q27" i="14"/>
  <c r="BK52" i="15"/>
  <c r="BK51" i="15" s="1"/>
  <c r="AA46" i="14"/>
  <c r="Y45" i="17"/>
  <c r="D100" i="17"/>
  <c r="D27" i="17" s="1"/>
  <c r="F61" i="10"/>
  <c r="D79" i="17"/>
  <c r="H30" i="12"/>
  <c r="D30" i="12" s="1"/>
  <c r="G31" i="12"/>
  <c r="AD32" i="17" s="1"/>
  <c r="BK82" i="15"/>
  <c r="AP82" i="15" s="1"/>
  <c r="BY82" i="15" s="1"/>
  <c r="L77" i="14"/>
  <c r="G108" i="11"/>
  <c r="AV47" i="13"/>
  <c r="I45" i="12"/>
  <c r="U45" i="12" s="1"/>
  <c r="O108" i="12"/>
  <c r="D80" i="17"/>
  <c r="Q110" i="12"/>
  <c r="M107" i="12"/>
  <c r="AH32" i="13"/>
  <c r="AH31" i="13" s="1"/>
  <c r="AH25" i="13" s="1"/>
  <c r="F25" i="13" s="1"/>
  <c r="AF46" i="14"/>
  <c r="D109" i="17"/>
  <c r="K107" i="12"/>
  <c r="BR51" i="15"/>
  <c r="Y46" i="17"/>
  <c r="AT33" i="17"/>
  <c r="AA48" i="17"/>
  <c r="Y48" i="17" s="1"/>
  <c r="D111" i="17"/>
  <c r="F31" i="10"/>
  <c r="D32" i="17"/>
  <c r="D31" i="17" s="1"/>
  <c r="D30" i="17" s="1"/>
  <c r="D24" i="17" s="1"/>
  <c r="Q108" i="12"/>
  <c r="BW83" i="13"/>
  <c r="Y43" i="17"/>
  <c r="AH46" i="17"/>
  <c r="AG44" i="17"/>
  <c r="AO44" i="17"/>
  <c r="AH45" i="17"/>
  <c r="AH43" i="17"/>
  <c r="D110" i="17"/>
  <c r="L47" i="14"/>
  <c r="V46" i="14"/>
  <c r="AI46" i="17"/>
  <c r="AO42" i="17"/>
  <c r="F43" i="17"/>
  <c r="AO46" i="17"/>
  <c r="AO45" i="17"/>
  <c r="AI44" i="17"/>
  <c r="AO43" i="17"/>
  <c r="AT46" i="17"/>
  <c r="AI45" i="17"/>
  <c r="AI43" i="17"/>
  <c r="AG42" i="17"/>
  <c r="J43" i="17"/>
  <c r="AK42" i="17"/>
  <c r="AG46" i="17"/>
  <c r="AG45" i="17"/>
  <c r="AG43" i="17"/>
  <c r="F46" i="17"/>
  <c r="E46" i="17" s="1"/>
  <c r="J46" i="17"/>
  <c r="F42" i="17"/>
  <c r="E42" i="17" s="1"/>
  <c r="AJ43" i="17"/>
  <c r="AF43" i="17"/>
  <c r="F44" i="17"/>
  <c r="E44" i="17" s="1"/>
  <c r="J44" i="17"/>
  <c r="AJ44" i="17"/>
  <c r="AF44" i="17"/>
  <c r="F45" i="17"/>
  <c r="E45" i="17" s="1"/>
  <c r="AJ46" i="17"/>
  <c r="AF46" i="17"/>
  <c r="AO47" i="13"/>
  <c r="BY47" i="13" s="1"/>
  <c r="AO50" i="13"/>
  <c r="BY50" i="13" s="1"/>
  <c r="AO49" i="13"/>
  <c r="BY49" i="13" s="1"/>
  <c r="U79" i="12"/>
  <c r="T79" i="12"/>
  <c r="S79" i="12"/>
  <c r="U42" i="12"/>
  <c r="T42" i="12"/>
  <c r="S42" i="12"/>
  <c r="G56" i="10"/>
  <c r="AZ70" i="18" s="1"/>
  <c r="G88" i="10"/>
  <c r="G87" i="10"/>
  <c r="R61" i="10"/>
  <c r="D43" i="10"/>
  <c r="Q43" i="10" s="1"/>
  <c r="D42" i="10"/>
  <c r="Q42" i="10" s="1"/>
  <c r="D41" i="10"/>
  <c r="Q41" i="10" s="1"/>
  <c r="G60" i="10"/>
  <c r="AZ75" i="18" s="1"/>
  <c r="S61" i="10"/>
  <c r="F31" i="13" l="1"/>
  <c r="Q61" i="10"/>
  <c r="D61" i="10"/>
  <c r="D84" i="13"/>
  <c r="AY32" i="17"/>
  <c r="D31" i="13"/>
  <c r="D25" i="13"/>
  <c r="AH24" i="13"/>
  <c r="F24" i="13" s="1"/>
  <c r="AE44" i="17"/>
  <c r="E43" i="17"/>
  <c r="I42" i="11"/>
  <c r="O42" i="11" s="1"/>
  <c r="T41" i="12"/>
  <c r="T43" i="12"/>
  <c r="U43" i="12"/>
  <c r="S44" i="12"/>
  <c r="S41" i="12"/>
  <c r="T44" i="12"/>
  <c r="U43" i="11"/>
  <c r="I45" i="11"/>
  <c r="O45" i="11" s="1"/>
  <c r="D78" i="17"/>
  <c r="D77" i="17" s="1"/>
  <c r="T45" i="12"/>
  <c r="D106" i="17"/>
  <c r="G105" i="11"/>
  <c r="F87" i="10"/>
  <c r="F86" i="10" s="1"/>
  <c r="F30" i="10"/>
  <c r="F29" i="10" s="1"/>
  <c r="F23" i="10" s="1"/>
  <c r="D107" i="17"/>
  <c r="G106" i="11"/>
  <c r="I44" i="11"/>
  <c r="O44" i="11" s="1"/>
  <c r="H29" i="12"/>
  <c r="D29" i="12" s="1"/>
  <c r="G30" i="12"/>
  <c r="AD31" i="17" s="1"/>
  <c r="U41" i="11"/>
  <c r="AE43" i="17"/>
  <c r="S45" i="12"/>
  <c r="AH84" i="13"/>
  <c r="AE46" i="17"/>
  <c r="AJ42" i="17"/>
  <c r="AE42" i="17" s="1"/>
  <c r="AF42" i="17"/>
  <c r="AJ45" i="17"/>
  <c r="AE45" i="17" s="1"/>
  <c r="AF45" i="17"/>
  <c r="D24" i="13" l="1"/>
  <c r="D116" i="13" s="1"/>
  <c r="E87" i="10"/>
  <c r="E86" i="10" s="1"/>
  <c r="E28" i="10" s="1"/>
  <c r="F28" i="10"/>
  <c r="H23" i="12"/>
  <c r="D23" i="12" s="1"/>
  <c r="G29" i="12"/>
  <c r="AD30" i="17" s="1"/>
  <c r="AD24" i="17" s="1"/>
  <c r="AD23" i="17" s="1"/>
  <c r="G104" i="11"/>
  <c r="G103" i="11" s="1"/>
  <c r="D105" i="17"/>
  <c r="D104" i="17" s="1"/>
  <c r="D29" i="17" s="1"/>
  <c r="H22" i="12" l="1"/>
  <c r="G23" i="12"/>
  <c r="G22" i="12" l="1"/>
  <c r="D22" i="12"/>
  <c r="J77" i="12" l="1"/>
  <c r="L77" i="12"/>
  <c r="N77" i="12"/>
  <c r="O77" i="12"/>
  <c r="N91" i="10"/>
  <c r="N87" i="10"/>
  <c r="N50" i="10"/>
  <c r="N47" i="10" s="1"/>
  <c r="H111" i="12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AD81" i="15"/>
  <c r="AE81" i="15"/>
  <c r="AF81" i="15"/>
  <c r="AG81" i="15"/>
  <c r="AH81" i="15"/>
  <c r="AI81" i="15"/>
  <c r="AJ81" i="15"/>
  <c r="AK81" i="15"/>
  <c r="AL81" i="15"/>
  <c r="AM81" i="15"/>
  <c r="AU81" i="15"/>
  <c r="AV81" i="15"/>
  <c r="AX81" i="15"/>
  <c r="AY81" i="15"/>
  <c r="AZ81" i="15"/>
  <c r="BA81" i="15"/>
  <c r="BB81" i="15"/>
  <c r="BC81" i="15"/>
  <c r="BD81" i="15"/>
  <c r="BE81" i="15"/>
  <c r="BF81" i="15"/>
  <c r="BG81" i="15"/>
  <c r="BH81" i="15"/>
  <c r="BI81" i="15"/>
  <c r="BJ81" i="15"/>
  <c r="BK81" i="15"/>
  <c r="BL81" i="15"/>
  <c r="BM81" i="15"/>
  <c r="BN81" i="15"/>
  <c r="BO81" i="15"/>
  <c r="BP81" i="15"/>
  <c r="BQ81" i="15"/>
  <c r="BR81" i="15"/>
  <c r="BS81" i="15"/>
  <c r="BT81" i="15"/>
  <c r="BU81" i="15"/>
  <c r="BV81" i="15"/>
  <c r="L81" i="15"/>
  <c r="CD58" i="15"/>
  <c r="CD59" i="15"/>
  <c r="CD60" i="15"/>
  <c r="CD61" i="15"/>
  <c r="CD62" i="15"/>
  <c r="CD63" i="15"/>
  <c r="CD64" i="15"/>
  <c r="CD65" i="15"/>
  <c r="CD66" i="15"/>
  <c r="CD67" i="15"/>
  <c r="CD68" i="15"/>
  <c r="CD69" i="15"/>
  <c r="CD70" i="15"/>
  <c r="CD71" i="15"/>
  <c r="CD72" i="15"/>
  <c r="CD73" i="15"/>
  <c r="CD74" i="15"/>
  <c r="CD75" i="15"/>
  <c r="CD76" i="15"/>
  <c r="CD77" i="15"/>
  <c r="CD78" i="15"/>
  <c r="CD79" i="15"/>
  <c r="CD80" i="15"/>
  <c r="CD81" i="15"/>
  <c r="CD83" i="15"/>
  <c r="CD84" i="15"/>
  <c r="CD85" i="15"/>
  <c r="CD86" i="15"/>
  <c r="CD87" i="15"/>
  <c r="CD88" i="15"/>
  <c r="CD89" i="15"/>
  <c r="CD90" i="15"/>
  <c r="CD91" i="15"/>
  <c r="CD92" i="15"/>
  <c r="CD93" i="15"/>
  <c r="CD94" i="15"/>
  <c r="CD95" i="15"/>
  <c r="CD96" i="15"/>
  <c r="CD97" i="15"/>
  <c r="CD98" i="15"/>
  <c r="CD99" i="15"/>
  <c r="CD100" i="15"/>
  <c r="CD101" i="15"/>
  <c r="CD102" i="15"/>
  <c r="CD103" i="15"/>
  <c r="CD104" i="15"/>
  <c r="CD105" i="15"/>
  <c r="CD106" i="15"/>
  <c r="CD107" i="15"/>
  <c r="CD108" i="15"/>
  <c r="CD109" i="15"/>
  <c r="CD110" i="15"/>
  <c r="CD111" i="15"/>
  <c r="CD112" i="15"/>
  <c r="CD113" i="15"/>
  <c r="CD114" i="15"/>
  <c r="CD115" i="15"/>
  <c r="CD51" i="15"/>
  <c r="CD52" i="15"/>
  <c r="CD53" i="15"/>
  <c r="CD54" i="15"/>
  <c r="CD55" i="15"/>
  <c r="CD56" i="15"/>
  <c r="CD57" i="15"/>
  <c r="CD37" i="15"/>
  <c r="CD38" i="15"/>
  <c r="CD39" i="15"/>
  <c r="CD40" i="15"/>
  <c r="CD41" i="15"/>
  <c r="CD42" i="15"/>
  <c r="CD43" i="15"/>
  <c r="CD44" i="15"/>
  <c r="CD50" i="15"/>
  <c r="AT101" i="17"/>
  <c r="AT102" i="17"/>
  <c r="AT83" i="17"/>
  <c r="AT53" i="17"/>
  <c r="AT49" i="17"/>
  <c r="AT37" i="17"/>
  <c r="AT38" i="17"/>
  <c r="AT34" i="17"/>
  <c r="AT35" i="17"/>
  <c r="Y71" i="18"/>
  <c r="Y72" i="18"/>
  <c r="Y79" i="18"/>
  <c r="Y81" i="18"/>
  <c r="Y82" i="18"/>
  <c r="Y91" i="18"/>
  <c r="Y97" i="18"/>
  <c r="Y98" i="18"/>
  <c r="BA80" i="18"/>
  <c r="BA82" i="18"/>
  <c r="BA83" i="18"/>
  <c r="BA84" i="18"/>
  <c r="BA85" i="18"/>
  <c r="BA86" i="18"/>
  <c r="BA87" i="18"/>
  <c r="BA88" i="18"/>
  <c r="BA89" i="18"/>
  <c r="BA91" i="18"/>
  <c r="BA92" i="18"/>
  <c r="BA94" i="18"/>
  <c r="BA95" i="18"/>
  <c r="BA99" i="18"/>
  <c r="AU54" i="17"/>
  <c r="AT54" i="17" s="1"/>
  <c r="AT52" i="17"/>
  <c r="AT51" i="17"/>
  <c r="AT41" i="17"/>
  <c r="AT39" i="17"/>
  <c r="AX48" i="17"/>
  <c r="AV48" i="17"/>
  <c r="AT47" i="17"/>
  <c r="AT40" i="17"/>
  <c r="AT36" i="17"/>
  <c r="T108" i="17"/>
  <c r="T109" i="17"/>
  <c r="X48" i="17"/>
  <c r="U54" i="17"/>
  <c r="T54" i="17" s="1"/>
  <c r="W52" i="17"/>
  <c r="V52" i="17"/>
  <c r="U52" i="17"/>
  <c r="V51" i="17"/>
  <c r="W51" i="17"/>
  <c r="U51" i="17"/>
  <c r="W50" i="17"/>
  <c r="V50" i="17"/>
  <c r="T47" i="17"/>
  <c r="T49" i="17"/>
  <c r="T53" i="17"/>
  <c r="U50" i="17"/>
  <c r="T37" i="17"/>
  <c r="T38" i="17"/>
  <c r="T40" i="17"/>
  <c r="T41" i="17"/>
  <c r="W39" i="17"/>
  <c r="H39" i="17" s="1"/>
  <c r="V39" i="17"/>
  <c r="V36" i="17"/>
  <c r="W36" i="17"/>
  <c r="BC48" i="17"/>
  <c r="BB48" i="17"/>
  <c r="BA48" i="17"/>
  <c r="AZ48" i="17"/>
  <c r="AS48" i="17"/>
  <c r="AH53" i="17"/>
  <c r="AO53" i="17"/>
  <c r="AJ53" i="17"/>
  <c r="AI53" i="17"/>
  <c r="AG53" i="17"/>
  <c r="AF53" i="17"/>
  <c r="Q53" i="17"/>
  <c r="I53" i="17"/>
  <c r="H53" i="17"/>
  <c r="AX32" i="17"/>
  <c r="AV32" i="17"/>
  <c r="AO47" i="17"/>
  <c r="AN47" i="17"/>
  <c r="AI47" i="17" s="1"/>
  <c r="AM47" i="17"/>
  <c r="AH47" i="17" s="1"/>
  <c r="AL47" i="17"/>
  <c r="O47" i="17"/>
  <c r="K47" i="17"/>
  <c r="AO41" i="17"/>
  <c r="AH41" i="17"/>
  <c r="AG41" i="17"/>
  <c r="O41" i="17"/>
  <c r="J41" i="17"/>
  <c r="AG40" i="17"/>
  <c r="AI40" i="17"/>
  <c r="O40" i="17"/>
  <c r="J40" i="17"/>
  <c r="AO39" i="17"/>
  <c r="AJ39" i="17"/>
  <c r="AH39" i="17"/>
  <c r="J39" i="17"/>
  <c r="AT56" i="15"/>
  <c r="AS56" i="15"/>
  <c r="AR56" i="15"/>
  <c r="AQ56" i="15"/>
  <c r="AO56" i="15"/>
  <c r="AN56" i="15"/>
  <c r="BD56" i="15"/>
  <c r="AW56" i="15"/>
  <c r="N51" i="14"/>
  <c r="M51" i="14"/>
  <c r="K51" i="14"/>
  <c r="J51" i="14"/>
  <c r="BK37" i="15"/>
  <c r="BK38" i="15"/>
  <c r="BK39" i="15"/>
  <c r="BK40" i="15"/>
  <c r="BK41" i="15"/>
  <c r="BK42" i="15"/>
  <c r="BK43" i="15"/>
  <c r="BK44" i="15"/>
  <c r="BK50" i="15"/>
  <c r="AA53" i="14"/>
  <c r="AA54" i="14"/>
  <c r="AA56" i="14"/>
  <c r="AA57" i="14"/>
  <c r="AA59" i="14"/>
  <c r="AA60" i="14"/>
  <c r="AA61" i="14"/>
  <c r="AA62" i="14"/>
  <c r="AA63" i="14"/>
  <c r="AA64" i="14"/>
  <c r="AA65" i="14"/>
  <c r="AA66" i="14"/>
  <c r="AA68" i="14"/>
  <c r="AA69" i="14"/>
  <c r="AA72" i="14"/>
  <c r="AA73" i="14"/>
  <c r="AA74" i="14"/>
  <c r="AA75" i="14"/>
  <c r="AA82" i="14"/>
  <c r="AA83" i="14"/>
  <c r="AA84" i="14"/>
  <c r="AA85" i="14"/>
  <c r="AA86" i="14"/>
  <c r="AA87" i="14"/>
  <c r="AA88" i="14"/>
  <c r="AA89" i="14"/>
  <c r="AA90" i="14"/>
  <c r="AA91" i="14"/>
  <c r="AA92" i="14"/>
  <c r="AA94" i="14"/>
  <c r="AA95" i="14"/>
  <c r="AA97" i="14"/>
  <c r="AA98" i="14"/>
  <c r="AA99" i="14"/>
  <c r="AA100" i="14"/>
  <c r="AA101" i="14"/>
  <c r="AA102" i="14"/>
  <c r="AA105" i="14"/>
  <c r="AA107" i="14"/>
  <c r="AA108" i="14"/>
  <c r="AA109" i="14"/>
  <c r="BD50" i="15"/>
  <c r="AW50" i="15"/>
  <c r="BD44" i="15"/>
  <c r="AW44" i="15"/>
  <c r="BD43" i="15"/>
  <c r="AW43" i="15"/>
  <c r="BD42" i="15"/>
  <c r="AW42" i="15"/>
  <c r="BJ58" i="13"/>
  <c r="BJ53" i="13"/>
  <c r="BJ45" i="13"/>
  <c r="BJ41" i="13"/>
  <c r="BJ42" i="13"/>
  <c r="BC45" i="13"/>
  <c r="AT45" i="13"/>
  <c r="AS45" i="13"/>
  <c r="AR45" i="13"/>
  <c r="Y43" i="18" s="1"/>
  <c r="AQ45" i="13"/>
  <c r="AP45" i="13"/>
  <c r="AN45" i="13"/>
  <c r="BJ51" i="13"/>
  <c r="V40" i="12"/>
  <c r="R40" i="12"/>
  <c r="K40" i="12"/>
  <c r="I40" i="12" s="1"/>
  <c r="H40" i="12"/>
  <c r="X40" i="11"/>
  <c r="H40" i="10"/>
  <c r="Q40" i="10" s="1"/>
  <c r="AA78" i="17"/>
  <c r="AB78" i="17"/>
  <c r="AC78" i="17"/>
  <c r="Z78" i="17"/>
  <c r="V78" i="17"/>
  <c r="W78" i="17"/>
  <c r="X78" i="17"/>
  <c r="U78" i="17"/>
  <c r="S78" i="17"/>
  <c r="Q78" i="17"/>
  <c r="R78" i="17"/>
  <c r="P78" i="17"/>
  <c r="M78" i="17"/>
  <c r="N78" i="17"/>
  <c r="P76" i="14"/>
  <c r="Q76" i="14"/>
  <c r="R76" i="14"/>
  <c r="S76" i="14"/>
  <c r="T76" i="14"/>
  <c r="U76" i="14"/>
  <c r="V76" i="14"/>
  <c r="W76" i="14"/>
  <c r="X76" i="14"/>
  <c r="Y76" i="14"/>
  <c r="Z76" i="14"/>
  <c r="AB76" i="14"/>
  <c r="AC76" i="14"/>
  <c r="AD76" i="14"/>
  <c r="AE76" i="14"/>
  <c r="AF76" i="14"/>
  <c r="AG76" i="14"/>
  <c r="AH76" i="14"/>
  <c r="O76" i="14"/>
  <c r="BC44" i="13"/>
  <c r="BC51" i="13"/>
  <c r="AT51" i="13"/>
  <c r="AS51" i="13"/>
  <c r="AR51" i="13"/>
  <c r="Y44" i="18" s="1"/>
  <c r="AQ51" i="13"/>
  <c r="AP51" i="13"/>
  <c r="AN51" i="13"/>
  <c r="AT44" i="13"/>
  <c r="AS44" i="13"/>
  <c r="AR44" i="13"/>
  <c r="Y42" i="18" s="1"/>
  <c r="AQ44" i="13"/>
  <c r="AP44" i="13"/>
  <c r="AN44" i="13"/>
  <c r="AT43" i="13"/>
  <c r="AS43" i="13"/>
  <c r="Y41" i="18"/>
  <c r="AQ43" i="13"/>
  <c r="AP43" i="13"/>
  <c r="AN43" i="13"/>
  <c r="BC58" i="13"/>
  <c r="AV58" i="13"/>
  <c r="AT58" i="13"/>
  <c r="AS58" i="13"/>
  <c r="Y51" i="18"/>
  <c r="AQ58" i="13"/>
  <c r="AP58" i="13"/>
  <c r="BA82" i="13"/>
  <c r="BB82" i="13"/>
  <c r="BD82" i="13"/>
  <c r="BE82" i="13"/>
  <c r="BF82" i="13"/>
  <c r="BG82" i="13"/>
  <c r="BH82" i="13"/>
  <c r="BI82" i="13"/>
  <c r="BI81" i="13" s="1"/>
  <c r="BJ81" i="13"/>
  <c r="BK82" i="13"/>
  <c r="BK81" i="13" s="1"/>
  <c r="BL82" i="13"/>
  <c r="BL81" i="13" s="1"/>
  <c r="BM82" i="13"/>
  <c r="BM81" i="13" s="1"/>
  <c r="AA76" i="14" s="1"/>
  <c r="BN82" i="13"/>
  <c r="BO82" i="13"/>
  <c r="BO81" i="13" s="1"/>
  <c r="BP82" i="13"/>
  <c r="BP81" i="13" s="1"/>
  <c r="BQ81" i="13"/>
  <c r="BR82" i="13"/>
  <c r="BR81" i="13" s="1"/>
  <c r="BS82" i="13"/>
  <c r="BS81" i="13" s="1"/>
  <c r="BT82" i="13"/>
  <c r="BT81" i="13" s="1"/>
  <c r="BU82" i="13"/>
  <c r="BU81" i="13" s="1"/>
  <c r="BV82" i="13"/>
  <c r="BV81" i="13" s="1"/>
  <c r="AW82" i="13"/>
  <c r="AX82" i="13"/>
  <c r="AY82" i="13"/>
  <c r="AZ82" i="13"/>
  <c r="AU82" i="13"/>
  <c r="AX108" i="17"/>
  <c r="AX109" i="17"/>
  <c r="R80" i="12"/>
  <c r="J77" i="11"/>
  <c r="K77" i="11"/>
  <c r="M77" i="11"/>
  <c r="I60" i="10"/>
  <c r="K60" i="10"/>
  <c r="L60" i="10"/>
  <c r="M60" i="10"/>
  <c r="N60" i="10"/>
  <c r="O60" i="10"/>
  <c r="P60" i="10"/>
  <c r="G59" i="10"/>
  <c r="AZ74" i="18" s="1"/>
  <c r="H81" i="12"/>
  <c r="D81" i="12" s="1"/>
  <c r="H80" i="12"/>
  <c r="D80" i="12" s="1"/>
  <c r="V49" i="12"/>
  <c r="V50" i="12"/>
  <c r="V51" i="12"/>
  <c r="V52" i="12"/>
  <c r="O52" i="12"/>
  <c r="O51" i="12"/>
  <c r="O50" i="12"/>
  <c r="K49" i="12"/>
  <c r="I52" i="12"/>
  <c r="U52" i="12" s="1"/>
  <c r="V36" i="12"/>
  <c r="V37" i="12"/>
  <c r="V38" i="12"/>
  <c r="V39" i="12"/>
  <c r="BJ44" i="13"/>
  <c r="O38" i="12"/>
  <c r="O35" i="12"/>
  <c r="R37" i="12"/>
  <c r="K37" i="12"/>
  <c r="I37" i="12" s="1"/>
  <c r="H37" i="12"/>
  <c r="R36" i="12"/>
  <c r="K36" i="12"/>
  <c r="I36" i="12" s="1"/>
  <c r="H36" i="12"/>
  <c r="R35" i="12"/>
  <c r="M35" i="12"/>
  <c r="I35" i="12" s="1"/>
  <c r="H35" i="12"/>
  <c r="X52" i="11"/>
  <c r="X39" i="11"/>
  <c r="X37" i="11"/>
  <c r="X36" i="11"/>
  <c r="BA50" i="18"/>
  <c r="N38" i="10"/>
  <c r="N35" i="10"/>
  <c r="L37" i="10"/>
  <c r="H37" i="10" s="1"/>
  <c r="L36" i="10"/>
  <c r="J36" i="10"/>
  <c r="L35" i="10"/>
  <c r="N92" i="10"/>
  <c r="V85" i="11"/>
  <c r="BN81" i="13"/>
  <c r="BC85" i="13"/>
  <c r="BX108" i="13"/>
  <c r="E81" i="12"/>
  <c r="E80" i="12"/>
  <c r="E74" i="12"/>
  <c r="E73" i="12"/>
  <c r="E110" i="12"/>
  <c r="E109" i="12"/>
  <c r="E108" i="12"/>
  <c r="E107" i="12"/>
  <c r="E105" i="12"/>
  <c r="Q77" i="12"/>
  <c r="P78" i="12"/>
  <c r="H78" i="12" s="1"/>
  <c r="D78" i="12" s="1"/>
  <c r="P31" i="12"/>
  <c r="P110" i="12"/>
  <c r="P109" i="12"/>
  <c r="P108" i="12"/>
  <c r="P107" i="12"/>
  <c r="P105" i="12"/>
  <c r="N108" i="12"/>
  <c r="N109" i="12"/>
  <c r="N110" i="12"/>
  <c r="N107" i="12"/>
  <c r="Q106" i="12"/>
  <c r="H28" i="11"/>
  <c r="M67" i="10"/>
  <c r="N67" i="10"/>
  <c r="O67" i="10"/>
  <c r="P67" i="10"/>
  <c r="O76" i="10"/>
  <c r="P76" i="10"/>
  <c r="N76" i="10"/>
  <c r="M76" i="10"/>
  <c r="M84" i="11"/>
  <c r="H67" i="10"/>
  <c r="BA81" i="18" s="1"/>
  <c r="G67" i="10"/>
  <c r="AU48" i="17" l="1"/>
  <c r="S37" i="10"/>
  <c r="R37" i="10"/>
  <c r="G37" i="12"/>
  <c r="D37" i="12"/>
  <c r="G36" i="12"/>
  <c r="D36" i="12"/>
  <c r="L40" i="11"/>
  <c r="U40" i="11" s="1"/>
  <c r="R40" i="10"/>
  <c r="AY48" i="17"/>
  <c r="G40" i="12"/>
  <c r="D40" i="12"/>
  <c r="G35" i="12"/>
  <c r="D35" i="12"/>
  <c r="G111" i="12"/>
  <c r="D111" i="12"/>
  <c r="T51" i="17"/>
  <c r="H36" i="17"/>
  <c r="W32" i="17"/>
  <c r="T36" i="17"/>
  <c r="V32" i="17"/>
  <c r="BJ52" i="13"/>
  <c r="W48" i="17"/>
  <c r="G80" i="12"/>
  <c r="F85" i="13"/>
  <c r="AD81" i="17"/>
  <c r="T39" i="17"/>
  <c r="G39" i="17"/>
  <c r="E39" i="17" s="1"/>
  <c r="AD79" i="17"/>
  <c r="G78" i="12"/>
  <c r="F83" i="13"/>
  <c r="H77" i="12"/>
  <c r="E104" i="12"/>
  <c r="E103" i="12" s="1"/>
  <c r="E28" i="12" s="1"/>
  <c r="U48" i="17"/>
  <c r="X106" i="17"/>
  <c r="T106" i="17" s="1"/>
  <c r="O105" i="12"/>
  <c r="AX106" i="17" s="1"/>
  <c r="X111" i="17"/>
  <c r="T111" i="17" s="1"/>
  <c r="O110" i="12"/>
  <c r="AX111" i="17" s="1"/>
  <c r="G81" i="12"/>
  <c r="AD82" i="17"/>
  <c r="F86" i="13"/>
  <c r="T52" i="17"/>
  <c r="E72" i="12"/>
  <c r="E71" i="12" s="1"/>
  <c r="BJ43" i="13"/>
  <c r="AO43" i="13" s="1"/>
  <c r="BY43" i="13" s="1"/>
  <c r="I38" i="12"/>
  <c r="G36" i="17"/>
  <c r="E36" i="17" s="1"/>
  <c r="V48" i="17"/>
  <c r="T48" i="17" s="1"/>
  <c r="X110" i="17"/>
  <c r="T110" i="17" s="1"/>
  <c r="O109" i="12"/>
  <c r="AX110" i="17" s="1"/>
  <c r="AK47" i="17"/>
  <c r="AJ47" i="17" s="1"/>
  <c r="AE47" i="17" s="1"/>
  <c r="F47" i="17"/>
  <c r="E47" i="17" s="1"/>
  <c r="N31" i="10"/>
  <c r="AV85" i="13"/>
  <c r="AP56" i="15"/>
  <c r="BK36" i="15"/>
  <c r="BK32" i="15" s="1"/>
  <c r="AT50" i="17"/>
  <c r="L51" i="14"/>
  <c r="AF39" i="17"/>
  <c r="AG39" i="17"/>
  <c r="E40" i="17"/>
  <c r="E41" i="17"/>
  <c r="AW48" i="17"/>
  <c r="O39" i="17"/>
  <c r="AI39" i="17"/>
  <c r="AO40" i="17"/>
  <c r="O53" i="17"/>
  <c r="E53" i="17" s="1"/>
  <c r="T50" i="17"/>
  <c r="U35" i="12"/>
  <c r="S40" i="12"/>
  <c r="U36" i="12"/>
  <c r="S80" i="12"/>
  <c r="U40" i="12"/>
  <c r="L39" i="11"/>
  <c r="U39" i="11" s="1"/>
  <c r="BA43" i="18"/>
  <c r="BA42" i="18"/>
  <c r="BA40" i="18"/>
  <c r="AJ41" i="17"/>
  <c r="AE41" i="17" s="1"/>
  <c r="AI41" i="17"/>
  <c r="AE53" i="17"/>
  <c r="AU32" i="17"/>
  <c r="AE39" i="17"/>
  <c r="AW32" i="17"/>
  <c r="AJ40" i="17"/>
  <c r="AH40" i="17"/>
  <c r="AG47" i="17"/>
  <c r="J47" i="17"/>
  <c r="G53" i="17"/>
  <c r="AF40" i="17"/>
  <c r="AF41" i="17"/>
  <c r="M76" i="14"/>
  <c r="L76" i="14"/>
  <c r="T40" i="12"/>
  <c r="S40" i="10"/>
  <c r="U80" i="12"/>
  <c r="T80" i="12"/>
  <c r="AN82" i="13"/>
  <c r="AO58" i="13"/>
  <c r="BY58" i="13" s="1"/>
  <c r="AO51" i="13"/>
  <c r="BY51" i="13" s="1"/>
  <c r="S52" i="10"/>
  <c r="L52" i="11"/>
  <c r="L37" i="11"/>
  <c r="I37" i="11" s="1"/>
  <c r="O37" i="11" s="1"/>
  <c r="T36" i="12"/>
  <c r="T52" i="12"/>
  <c r="S52" i="12"/>
  <c r="T35" i="12"/>
  <c r="U37" i="12"/>
  <c r="S35" i="12"/>
  <c r="S36" i="12"/>
  <c r="D39" i="10"/>
  <c r="Q39" i="10" s="1"/>
  <c r="S39" i="10"/>
  <c r="H36" i="10"/>
  <c r="H35" i="10"/>
  <c r="D37" i="10"/>
  <c r="Q37" i="10" s="1"/>
  <c r="N76" i="14"/>
  <c r="P106" i="12"/>
  <c r="P77" i="12"/>
  <c r="N106" i="12"/>
  <c r="J76" i="14"/>
  <c r="J33" i="10"/>
  <c r="J31" i="10" s="1"/>
  <c r="U37" i="11" l="1"/>
  <c r="AT48" i="17"/>
  <c r="D86" i="13"/>
  <c r="D85" i="13"/>
  <c r="D83" i="13"/>
  <c r="G77" i="12"/>
  <c r="D77" i="12"/>
  <c r="BA38" i="18"/>
  <c r="R35" i="10"/>
  <c r="BA39" i="18"/>
  <c r="R36" i="10"/>
  <c r="I40" i="11"/>
  <c r="O40" i="11" s="1"/>
  <c r="T32" i="17"/>
  <c r="AF47" i="17"/>
  <c r="AE40" i="17"/>
  <c r="BJ33" i="13"/>
  <c r="AH85" i="13"/>
  <c r="AH86" i="13"/>
  <c r="AF79" i="17"/>
  <c r="AE79" i="17"/>
  <c r="AH83" i="13"/>
  <c r="T37" i="12"/>
  <c r="AT32" i="17"/>
  <c r="I39" i="11"/>
  <c r="O39" i="11" s="1"/>
  <c r="L35" i="11"/>
  <c r="U52" i="11"/>
  <c r="I52" i="11"/>
  <c r="O52" i="11" s="1"/>
  <c r="L36" i="11"/>
  <c r="S35" i="10"/>
  <c r="S37" i="12"/>
  <c r="D36" i="10"/>
  <c r="Q36" i="10" s="1"/>
  <c r="S36" i="10"/>
  <c r="D35" i="10"/>
  <c r="Q35" i="10" s="1"/>
  <c r="P38" i="17"/>
  <c r="AH82" i="13" l="1"/>
  <c r="AH81" i="13" s="1"/>
  <c r="F81" i="13" s="1"/>
  <c r="I36" i="11"/>
  <c r="O36" i="11" s="1"/>
  <c r="U36" i="11"/>
  <c r="D81" i="13" l="1"/>
  <c r="F82" i="13"/>
  <c r="D82" i="13" l="1"/>
  <c r="R35" i="17"/>
  <c r="H35" i="17" s="1"/>
  <c r="BC34" i="16"/>
  <c r="BD34" i="16"/>
  <c r="BE34" i="16"/>
  <c r="BF34" i="16"/>
  <c r="BG34" i="16"/>
  <c r="BC35" i="16"/>
  <c r="BD35" i="16"/>
  <c r="BE35" i="16"/>
  <c r="BF35" i="16"/>
  <c r="BG35" i="16"/>
  <c r="BC36" i="16"/>
  <c r="BD36" i="16"/>
  <c r="BE36" i="16"/>
  <c r="BF36" i="16"/>
  <c r="BG36" i="16"/>
  <c r="BC37" i="16"/>
  <c r="BD37" i="16"/>
  <c r="BE37" i="16"/>
  <c r="BF37" i="16"/>
  <c r="BG37" i="16"/>
  <c r="BC38" i="16"/>
  <c r="BD38" i="16"/>
  <c r="BE38" i="16"/>
  <c r="BF38" i="16"/>
  <c r="BG38" i="16"/>
  <c r="BC39" i="16"/>
  <c r="BD39" i="16"/>
  <c r="BE39" i="16"/>
  <c r="BF39" i="16"/>
  <c r="BG39" i="16"/>
  <c r="BC41" i="16"/>
  <c r="BD41" i="16"/>
  <c r="BE41" i="16"/>
  <c r="BF41" i="16"/>
  <c r="BG41" i="16"/>
  <c r="BC42" i="16"/>
  <c r="BD42" i="16"/>
  <c r="BE42" i="16"/>
  <c r="BF42" i="16"/>
  <c r="BG42" i="16"/>
  <c r="BC43" i="16"/>
  <c r="BD43" i="16"/>
  <c r="BE43" i="16"/>
  <c r="BF43" i="16"/>
  <c r="BG43" i="16"/>
  <c r="BC44" i="16"/>
  <c r="BD44" i="16"/>
  <c r="BE44" i="16"/>
  <c r="BF44" i="16"/>
  <c r="BG44" i="16"/>
  <c r="BC45" i="16"/>
  <c r="BD45" i="16"/>
  <c r="BE45" i="16"/>
  <c r="BF45" i="16"/>
  <c r="BG45" i="16"/>
  <c r="BC65" i="16"/>
  <c r="BD65" i="16"/>
  <c r="BE65" i="16"/>
  <c r="BF65" i="16"/>
  <c r="BG65" i="16"/>
  <c r="BC66" i="16"/>
  <c r="BD66" i="16"/>
  <c r="BE66" i="16"/>
  <c r="BF66" i="16"/>
  <c r="BG66" i="16"/>
  <c r="BC73" i="16"/>
  <c r="BD73" i="16"/>
  <c r="BE73" i="16"/>
  <c r="BF73" i="16"/>
  <c r="BG73" i="16"/>
  <c r="BC91" i="16"/>
  <c r="BD91" i="16"/>
  <c r="BE91" i="16"/>
  <c r="BF91" i="16"/>
  <c r="BG91" i="16"/>
  <c r="BC92" i="16"/>
  <c r="BD92" i="16"/>
  <c r="BE92" i="16"/>
  <c r="BF92" i="16"/>
  <c r="BG92" i="16"/>
  <c r="CD24" i="15"/>
  <c r="CD25" i="15"/>
  <c r="CD26" i="15"/>
  <c r="CD27" i="15"/>
  <c r="CD28" i="15"/>
  <c r="CD29" i="15"/>
  <c r="CD30" i="15"/>
  <c r="CD31" i="15"/>
  <c r="CD32" i="15"/>
  <c r="CD23" i="15"/>
  <c r="E115" i="15"/>
  <c r="F115" i="15"/>
  <c r="G115" i="15"/>
  <c r="H115" i="15"/>
  <c r="I115" i="15"/>
  <c r="J115" i="15"/>
  <c r="K115" i="15"/>
  <c r="D115" i="15"/>
  <c r="CA25" i="13"/>
  <c r="CA26" i="13"/>
  <c r="CA27" i="13"/>
  <c r="CA28" i="13"/>
  <c r="CA29" i="13"/>
  <c r="CA30" i="13"/>
  <c r="CA31" i="13"/>
  <c r="CA32" i="13"/>
  <c r="CA33" i="13"/>
  <c r="CA52" i="13"/>
  <c r="CA60" i="13"/>
  <c r="CA61" i="13"/>
  <c r="CA62" i="13"/>
  <c r="CA63" i="13"/>
  <c r="CA64" i="13"/>
  <c r="CA65" i="13"/>
  <c r="CA66" i="13"/>
  <c r="CA67" i="13"/>
  <c r="CA68" i="13"/>
  <c r="CA69" i="13"/>
  <c r="CA70" i="13"/>
  <c r="CA71" i="13"/>
  <c r="CA72" i="13"/>
  <c r="CA73" i="13"/>
  <c r="CA74" i="13"/>
  <c r="CA75" i="13"/>
  <c r="CA76" i="13"/>
  <c r="CA77" i="13"/>
  <c r="CA80" i="13"/>
  <c r="CA81" i="13"/>
  <c r="CA82" i="13"/>
  <c r="CA88" i="13"/>
  <c r="CA89" i="13"/>
  <c r="CA90" i="13"/>
  <c r="CA91" i="13"/>
  <c r="CA92" i="13"/>
  <c r="CA93" i="13"/>
  <c r="CA94" i="13"/>
  <c r="CA95" i="13"/>
  <c r="CA96" i="13"/>
  <c r="CA97" i="13"/>
  <c r="CA98" i="13"/>
  <c r="CA99" i="13"/>
  <c r="CA100" i="13"/>
  <c r="CA101" i="13"/>
  <c r="CA102" i="13"/>
  <c r="CA103" i="13"/>
  <c r="CA104" i="13"/>
  <c r="CA107" i="13"/>
  <c r="CA108" i="13"/>
  <c r="CA109" i="13"/>
  <c r="CA110" i="13"/>
  <c r="CA111" i="13"/>
  <c r="CA112" i="13"/>
  <c r="CA113" i="13"/>
  <c r="CA114" i="13"/>
  <c r="CA115" i="13"/>
  <c r="CA24" i="13"/>
  <c r="L116" i="13"/>
  <c r="M116" i="13"/>
  <c r="N116" i="13"/>
  <c r="O116" i="13"/>
  <c r="P116" i="13"/>
  <c r="Q116" i="13"/>
  <c r="R116" i="13"/>
  <c r="S116" i="13"/>
  <c r="T116" i="13"/>
  <c r="U116" i="13"/>
  <c r="V116" i="13"/>
  <c r="W116" i="13"/>
  <c r="X116" i="13"/>
  <c r="Y116" i="13"/>
  <c r="Z116" i="13"/>
  <c r="AA116" i="13"/>
  <c r="AB116" i="13"/>
  <c r="AC116" i="13"/>
  <c r="AD116" i="13"/>
  <c r="AE116" i="13"/>
  <c r="AF116" i="13"/>
  <c r="AG116" i="13"/>
  <c r="AH116" i="13"/>
  <c r="AI116" i="13"/>
  <c r="AJ116" i="13"/>
  <c r="AK116" i="13"/>
  <c r="AL116" i="13"/>
  <c r="AM116" i="13"/>
  <c r="BX116" i="13"/>
  <c r="R101" i="12"/>
  <c r="R100" i="12"/>
  <c r="R74" i="12"/>
  <c r="R73" i="12"/>
  <c r="R48" i="12"/>
  <c r="R39" i="12"/>
  <c r="R38" i="12"/>
  <c r="R34" i="12"/>
  <c r="R33" i="12"/>
  <c r="R32" i="12"/>
  <c r="S54" i="12"/>
  <c r="T54" i="12"/>
  <c r="U54" i="12"/>
  <c r="S56" i="12"/>
  <c r="T56" i="12"/>
  <c r="U56" i="12"/>
  <c r="S57" i="12"/>
  <c r="T57" i="12"/>
  <c r="U57" i="12"/>
  <c r="S59" i="12"/>
  <c r="T59" i="12"/>
  <c r="U59" i="12"/>
  <c r="S60" i="12"/>
  <c r="T60" i="12"/>
  <c r="U60" i="12"/>
  <c r="S61" i="12"/>
  <c r="T61" i="12"/>
  <c r="U61" i="12"/>
  <c r="S62" i="12"/>
  <c r="T62" i="12"/>
  <c r="U62" i="12"/>
  <c r="S63" i="12"/>
  <c r="T63" i="12"/>
  <c r="U63" i="12"/>
  <c r="S64" i="12"/>
  <c r="T64" i="12"/>
  <c r="U64" i="12"/>
  <c r="S65" i="12"/>
  <c r="T65" i="12"/>
  <c r="U65" i="12"/>
  <c r="S66" i="12"/>
  <c r="T66" i="12"/>
  <c r="U66" i="12"/>
  <c r="S68" i="12"/>
  <c r="T68" i="12"/>
  <c r="U68" i="12"/>
  <c r="S69" i="12"/>
  <c r="T69" i="12"/>
  <c r="U69" i="12"/>
  <c r="S75" i="12"/>
  <c r="T75" i="12"/>
  <c r="U75" i="12"/>
  <c r="S83" i="12"/>
  <c r="T83" i="12"/>
  <c r="S86" i="12"/>
  <c r="T86" i="12"/>
  <c r="S87" i="12"/>
  <c r="T87" i="12"/>
  <c r="S88" i="12"/>
  <c r="T88" i="12"/>
  <c r="S89" i="12"/>
  <c r="T89" i="12"/>
  <c r="S90" i="12"/>
  <c r="T90" i="12"/>
  <c r="S91" i="12"/>
  <c r="T91" i="12"/>
  <c r="S92" i="12"/>
  <c r="T92" i="12"/>
  <c r="S95" i="12"/>
  <c r="T95" i="12"/>
  <c r="S97" i="12"/>
  <c r="T97" i="12"/>
  <c r="S98" i="12"/>
  <c r="T98" i="12"/>
  <c r="S102" i="12"/>
  <c r="T102" i="12"/>
  <c r="V23" i="12"/>
  <c r="V24" i="12"/>
  <c r="V25" i="12"/>
  <c r="V26" i="12"/>
  <c r="V27" i="12"/>
  <c r="V28" i="12"/>
  <c r="V29" i="12"/>
  <c r="V30" i="12"/>
  <c r="V31" i="12"/>
  <c r="V33" i="12"/>
  <c r="V34" i="12"/>
  <c r="V47" i="12"/>
  <c r="V48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5" i="12"/>
  <c r="V76" i="12"/>
  <c r="V77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2" i="12"/>
  <c r="V103" i="12"/>
  <c r="V104" i="12"/>
  <c r="V22" i="12"/>
  <c r="D101" i="11"/>
  <c r="D100" i="11"/>
  <c r="V82" i="11"/>
  <c r="R82" i="11"/>
  <c r="P82" i="11"/>
  <c r="D8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8" i="11"/>
  <c r="X46" i="11"/>
  <c r="X47" i="11"/>
  <c r="X48" i="11"/>
  <c r="X49" i="11"/>
  <c r="X50" i="11"/>
  <c r="X51" i="11"/>
  <c r="X53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22" i="11"/>
  <c r="W111" i="11"/>
  <c r="U54" i="11"/>
  <c r="U56" i="11"/>
  <c r="U57" i="11"/>
  <c r="U59" i="11"/>
  <c r="U60" i="11"/>
  <c r="U61" i="11"/>
  <c r="U62" i="11"/>
  <c r="U63" i="11"/>
  <c r="U64" i="11"/>
  <c r="U65" i="11"/>
  <c r="U66" i="11"/>
  <c r="U68" i="11"/>
  <c r="U69" i="11"/>
  <c r="U75" i="11"/>
  <c r="U83" i="11"/>
  <c r="U86" i="11"/>
  <c r="U87" i="11"/>
  <c r="U88" i="11"/>
  <c r="U89" i="11"/>
  <c r="U90" i="11"/>
  <c r="U91" i="11"/>
  <c r="U92" i="11"/>
  <c r="U95" i="11"/>
  <c r="U97" i="11"/>
  <c r="U98" i="11"/>
  <c r="U102" i="11"/>
  <c r="E82" i="10"/>
  <c r="E26" i="10" s="1"/>
  <c r="E30" i="10"/>
  <c r="E29" i="10" s="1"/>
  <c r="E23" i="10" s="1"/>
  <c r="E27" i="10"/>
  <c r="E25" i="10"/>
  <c r="S81" i="10"/>
  <c r="S80" i="10"/>
  <c r="S66" i="10"/>
  <c r="M34" i="17" l="1"/>
  <c r="M32" i="17" s="1"/>
  <c r="M31" i="17" s="1"/>
  <c r="Q48" i="17"/>
  <c r="M49" i="17"/>
  <c r="L49" i="17"/>
  <c r="G49" i="17" s="1"/>
  <c r="P33" i="17"/>
  <c r="AN52" i="15"/>
  <c r="AO52" i="15"/>
  <c r="AQ52" i="15"/>
  <c r="AR52" i="15"/>
  <c r="AS52" i="15"/>
  <c r="AT52" i="15"/>
  <c r="AN53" i="15"/>
  <c r="AO53" i="15"/>
  <c r="AQ53" i="15"/>
  <c r="AR53" i="15"/>
  <c r="AS53" i="15"/>
  <c r="AT53" i="15"/>
  <c r="AN54" i="15"/>
  <c r="AO54" i="15"/>
  <c r="AQ54" i="15"/>
  <c r="AR54" i="15"/>
  <c r="AS54" i="15"/>
  <c r="AT54" i="15"/>
  <c r="AN55" i="15"/>
  <c r="AO55" i="15"/>
  <c r="AQ55" i="15"/>
  <c r="AR55" i="15"/>
  <c r="AS55" i="15"/>
  <c r="AT55" i="15"/>
  <c r="AN57" i="15"/>
  <c r="AO57" i="15"/>
  <c r="AQ57" i="15"/>
  <c r="AR57" i="15"/>
  <c r="AS57" i="15"/>
  <c r="AT57" i="15"/>
  <c r="AS51" i="15"/>
  <c r="J47" i="14"/>
  <c r="K47" i="14"/>
  <c r="M47" i="14"/>
  <c r="N47" i="14"/>
  <c r="J48" i="14"/>
  <c r="K48" i="14"/>
  <c r="M48" i="14"/>
  <c r="N48" i="14"/>
  <c r="J49" i="14"/>
  <c r="K49" i="14"/>
  <c r="M49" i="14"/>
  <c r="N49" i="14"/>
  <c r="J50" i="14"/>
  <c r="K50" i="14"/>
  <c r="M50" i="14"/>
  <c r="N50" i="14"/>
  <c r="J52" i="14"/>
  <c r="K52" i="14"/>
  <c r="M52" i="14"/>
  <c r="N52" i="14"/>
  <c r="BD52" i="15"/>
  <c r="BD53" i="15"/>
  <c r="BD55" i="15"/>
  <c r="BD57" i="15"/>
  <c r="AW52" i="15"/>
  <c r="AW53" i="15"/>
  <c r="AW54" i="15"/>
  <c r="AW55" i="15"/>
  <c r="AW57" i="15"/>
  <c r="AP53" i="13"/>
  <c r="AQ53" i="13"/>
  <c r="AR53" i="13"/>
  <c r="Y46" i="18" s="1"/>
  <c r="AS53" i="13"/>
  <c r="AT53" i="13"/>
  <c r="AP55" i="13"/>
  <c r="AQ55" i="13"/>
  <c r="AR55" i="13"/>
  <c r="Y47" i="18" s="1"/>
  <c r="AS55" i="13"/>
  <c r="AT55" i="13"/>
  <c r="Y48" i="18"/>
  <c r="AP56" i="13"/>
  <c r="AQ56" i="13"/>
  <c r="AR56" i="13"/>
  <c r="Y49" i="18" s="1"/>
  <c r="AS56" i="13"/>
  <c r="AT56" i="13"/>
  <c r="AP57" i="13"/>
  <c r="AQ57" i="13"/>
  <c r="AR57" i="13"/>
  <c r="Y50" i="18" s="1"/>
  <c r="AS57" i="13"/>
  <c r="AT57" i="13"/>
  <c r="BC55" i="13"/>
  <c r="AV56" i="13"/>
  <c r="AV57" i="13"/>
  <c r="BC56" i="13"/>
  <c r="I49" i="12"/>
  <c r="K48" i="12"/>
  <c r="J47" i="12"/>
  <c r="L47" i="12"/>
  <c r="N47" i="12"/>
  <c r="O47" i="12"/>
  <c r="P47" i="12"/>
  <c r="Q47" i="12"/>
  <c r="H48" i="12"/>
  <c r="S48" i="17"/>
  <c r="N48" i="17"/>
  <c r="K49" i="17"/>
  <c r="AN48" i="17"/>
  <c r="AR48" i="17"/>
  <c r="AO50" i="17"/>
  <c r="AO49" i="17"/>
  <c r="AL48" i="17"/>
  <c r="AJ54" i="17"/>
  <c r="AI54" i="17"/>
  <c r="AG54" i="17"/>
  <c r="AF54" i="17"/>
  <c r="AJ52" i="17"/>
  <c r="AI52" i="17"/>
  <c r="AH52" i="17"/>
  <c r="AG52" i="17"/>
  <c r="AJ51" i="17"/>
  <c r="AI51" i="17"/>
  <c r="AH51" i="17"/>
  <c r="AG51" i="17"/>
  <c r="AJ50" i="17"/>
  <c r="AI50" i="17"/>
  <c r="AH50" i="17"/>
  <c r="AG50" i="17"/>
  <c r="AF50" i="17"/>
  <c r="AI49" i="17"/>
  <c r="R48" i="17"/>
  <c r="O51" i="17"/>
  <c r="E50" i="17"/>
  <c r="K38" i="17"/>
  <c r="K32" i="17" s="1"/>
  <c r="K31" i="17" s="1"/>
  <c r="K51" i="17"/>
  <c r="J51" i="17" s="1"/>
  <c r="K52" i="17"/>
  <c r="K54" i="17"/>
  <c r="I49" i="17"/>
  <c r="F50" i="17"/>
  <c r="G50" i="17"/>
  <c r="H50" i="17"/>
  <c r="I50" i="17"/>
  <c r="G51" i="17"/>
  <c r="H51" i="17"/>
  <c r="I51" i="17"/>
  <c r="G52" i="17"/>
  <c r="H52" i="17"/>
  <c r="I52" i="17"/>
  <c r="G54" i="17"/>
  <c r="I54" i="17"/>
  <c r="L49" i="10"/>
  <c r="L47" i="10" s="1"/>
  <c r="H53" i="10"/>
  <c r="H51" i="10"/>
  <c r="H50" i="10"/>
  <c r="J48" i="10"/>
  <c r="J47" i="10" s="1"/>
  <c r="R51" i="10" l="1"/>
  <c r="Q51" i="10"/>
  <c r="D53" i="10"/>
  <c r="Q53" i="10" s="1"/>
  <c r="R53" i="10"/>
  <c r="G48" i="12"/>
  <c r="D48" i="12"/>
  <c r="D50" i="10"/>
  <c r="Q50" i="10" s="1"/>
  <c r="R50" i="10"/>
  <c r="F33" i="17"/>
  <c r="AV52" i="13"/>
  <c r="J49" i="17"/>
  <c r="AP52" i="15"/>
  <c r="AW51" i="15"/>
  <c r="L34" i="17"/>
  <c r="H34" i="17"/>
  <c r="F52" i="17"/>
  <c r="J52" i="17"/>
  <c r="F38" i="17"/>
  <c r="AK38" i="17"/>
  <c r="F54" i="17"/>
  <c r="J54" i="17"/>
  <c r="BC52" i="13"/>
  <c r="BA48" i="18"/>
  <c r="I48" i="12"/>
  <c r="U48" i="12" s="1"/>
  <c r="AO44" i="13"/>
  <c r="BY44" i="13" s="1"/>
  <c r="AO45" i="13"/>
  <c r="BY45" i="13" s="1"/>
  <c r="F53" i="17"/>
  <c r="L53" i="11"/>
  <c r="BA51" i="18"/>
  <c r="L51" i="11"/>
  <c r="BA49" i="18"/>
  <c r="L50" i="11"/>
  <c r="H49" i="10"/>
  <c r="AK48" i="17"/>
  <c r="AF49" i="17"/>
  <c r="F49" i="17"/>
  <c r="L48" i="17"/>
  <c r="M47" i="12"/>
  <c r="AH54" i="17"/>
  <c r="AG49" i="17"/>
  <c r="AO54" i="17"/>
  <c r="AE54" i="17" s="1"/>
  <c r="K47" i="12"/>
  <c r="I53" i="12"/>
  <c r="U53" i="12" s="1"/>
  <c r="AO53" i="13"/>
  <c r="BY53" i="13" s="1"/>
  <c r="S49" i="12"/>
  <c r="U49" i="12"/>
  <c r="T49" i="12"/>
  <c r="L49" i="14"/>
  <c r="S51" i="10"/>
  <c r="S50" i="10"/>
  <c r="S53" i="10"/>
  <c r="AP57" i="15"/>
  <c r="L52" i="14"/>
  <c r="E49" i="17"/>
  <c r="H48" i="10"/>
  <c r="AE50" i="17"/>
  <c r="AO57" i="13"/>
  <c r="BY57" i="13" s="1"/>
  <c r="BD54" i="15"/>
  <c r="AP54" i="15" s="1"/>
  <c r="AP53" i="15"/>
  <c r="AF52" i="17"/>
  <c r="AO52" i="17"/>
  <c r="AE52" i="17" s="1"/>
  <c r="AP55" i="15"/>
  <c r="E51" i="17"/>
  <c r="AO56" i="13"/>
  <c r="BY56" i="13" s="1"/>
  <c r="L46" i="14"/>
  <c r="AQ48" i="17"/>
  <c r="AG48" i="17" s="1"/>
  <c r="F51" i="17"/>
  <c r="M48" i="17"/>
  <c r="L50" i="14"/>
  <c r="O54" i="17"/>
  <c r="H47" i="12"/>
  <c r="I51" i="12"/>
  <c r="H49" i="17"/>
  <c r="O52" i="17"/>
  <c r="P48" i="17"/>
  <c r="I50" i="12"/>
  <c r="AO55" i="13"/>
  <c r="BY55" i="13" s="1"/>
  <c r="L48" i="14"/>
  <c r="H54" i="17"/>
  <c r="D57" i="10"/>
  <c r="L57" i="10"/>
  <c r="Q74" i="17" s="1"/>
  <c r="D49" i="10" l="1"/>
  <c r="Q49" i="10" s="1"/>
  <c r="R49" i="10"/>
  <c r="G47" i="12"/>
  <c r="D47" i="12"/>
  <c r="D48" i="10"/>
  <c r="Q48" i="10" s="1"/>
  <c r="H47" i="10"/>
  <c r="Q47" i="10" s="1"/>
  <c r="R48" i="10"/>
  <c r="G34" i="17"/>
  <c r="G32" i="17" s="1"/>
  <c r="L32" i="17"/>
  <c r="L31" i="17" s="1"/>
  <c r="T53" i="12"/>
  <c r="BD51" i="15"/>
  <c r="E52" i="17"/>
  <c r="E54" i="17"/>
  <c r="S48" i="12"/>
  <c r="T48" i="12"/>
  <c r="K48" i="17"/>
  <c r="J48" i="17" s="1"/>
  <c r="BA47" i="18"/>
  <c r="S47" i="10"/>
  <c r="S48" i="10"/>
  <c r="BA46" i="18"/>
  <c r="L49" i="11"/>
  <c r="U49" i="11" s="1"/>
  <c r="I53" i="11"/>
  <c r="O53" i="11" s="1"/>
  <c r="S53" i="12"/>
  <c r="S49" i="10"/>
  <c r="I51" i="11"/>
  <c r="O51" i="11" s="1"/>
  <c r="U51" i="11"/>
  <c r="I50" i="11"/>
  <c r="O50" i="11" s="1"/>
  <c r="U50" i="11"/>
  <c r="T50" i="12"/>
  <c r="S50" i="12"/>
  <c r="U50" i="12"/>
  <c r="S51" i="12"/>
  <c r="U51" i="12"/>
  <c r="T51" i="12"/>
  <c r="L48" i="11"/>
  <c r="AF51" i="17"/>
  <c r="AO51" i="17"/>
  <c r="AP48" i="17"/>
  <c r="AF48" i="17" s="1"/>
  <c r="AO52" i="13"/>
  <c r="BY52" i="13" s="1"/>
  <c r="I47" i="12"/>
  <c r="U47" i="12" s="1"/>
  <c r="AM48" i="17"/>
  <c r="AH49" i="17"/>
  <c r="AJ49" i="17"/>
  <c r="AS109" i="17"/>
  <c r="AS108" i="17"/>
  <c r="AN110" i="17"/>
  <c r="AN109" i="17"/>
  <c r="AN108" i="17"/>
  <c r="R47" i="10" l="1"/>
  <c r="BA45" i="18"/>
  <c r="BC109" i="17"/>
  <c r="BC108" i="17"/>
  <c r="L47" i="11"/>
  <c r="I47" i="11" s="1"/>
  <c r="I49" i="11"/>
  <c r="O49" i="11" s="1"/>
  <c r="U53" i="11"/>
  <c r="I48" i="11"/>
  <c r="O48" i="11" s="1"/>
  <c r="U48" i="11"/>
  <c r="S47" i="12"/>
  <c r="T47" i="12"/>
  <c r="AE51" i="17"/>
  <c r="AO48" i="17"/>
  <c r="AE49" i="17"/>
  <c r="AJ48" i="17"/>
  <c r="AK82" i="17"/>
  <c r="AK78" i="17" s="1"/>
  <c r="AQ81" i="17"/>
  <c r="AR81" i="17"/>
  <c r="AS81" i="17"/>
  <c r="AP81" i="17"/>
  <c r="AL81" i="17"/>
  <c r="AM81" i="17"/>
  <c r="AN81" i="17"/>
  <c r="U47" i="11" l="1"/>
  <c r="AT111" i="17"/>
  <c r="AR111" i="17"/>
  <c r="AQ111" i="17"/>
  <c r="AP111" i="17"/>
  <c r="AM111" i="17"/>
  <c r="AL111" i="17"/>
  <c r="AK111" i="17"/>
  <c r="Y111" i="17"/>
  <c r="H111" i="17"/>
  <c r="G111" i="17"/>
  <c r="F111" i="17"/>
  <c r="AT110" i="17"/>
  <c r="AR110" i="17"/>
  <c r="AQ110" i="17"/>
  <c r="AP110" i="17"/>
  <c r="AM110" i="17"/>
  <c r="AL110" i="17"/>
  <c r="AK110" i="17"/>
  <c r="Y110" i="17"/>
  <c r="H110" i="17"/>
  <c r="G110" i="17"/>
  <c r="F110" i="17"/>
  <c r="AT109" i="17"/>
  <c r="AR109" i="17"/>
  <c r="AQ109" i="17"/>
  <c r="AP109" i="17"/>
  <c r="AM109" i="17"/>
  <c r="AL109" i="17"/>
  <c r="AK109" i="17"/>
  <c r="Y109" i="17"/>
  <c r="H109" i="17"/>
  <c r="G109" i="17"/>
  <c r="F109" i="17"/>
  <c r="AT108" i="17"/>
  <c r="AR108" i="17"/>
  <c r="AQ108" i="17"/>
  <c r="AP108" i="17"/>
  <c r="AM108" i="17"/>
  <c r="AL108" i="17"/>
  <c r="AK108" i="17"/>
  <c r="Y108" i="17"/>
  <c r="H108" i="17"/>
  <c r="G108" i="17"/>
  <c r="F108" i="17"/>
  <c r="AX107" i="17"/>
  <c r="AX105" i="17" s="1"/>
  <c r="AX104" i="17" s="1"/>
  <c r="AW107" i="17"/>
  <c r="AW105" i="17" s="1"/>
  <c r="AW104" i="17" s="1"/>
  <c r="AV107" i="17"/>
  <c r="AV105" i="17" s="1"/>
  <c r="AV104" i="17" s="1"/>
  <c r="AU107" i="17"/>
  <c r="AC105" i="17"/>
  <c r="AC104" i="17" s="1"/>
  <c r="AB107" i="17"/>
  <c r="AB105" i="17" s="1"/>
  <c r="AB104" i="17" s="1"/>
  <c r="AA107" i="17"/>
  <c r="AA105" i="17" s="1"/>
  <c r="AA104" i="17" s="1"/>
  <c r="Z107" i="17"/>
  <c r="Z105" i="17" s="1"/>
  <c r="Z104" i="17" s="1"/>
  <c r="W107" i="17"/>
  <c r="W105" i="17" s="1"/>
  <c r="W104" i="17" s="1"/>
  <c r="V107" i="17"/>
  <c r="V105" i="17" s="1"/>
  <c r="V104" i="17" s="1"/>
  <c r="U107" i="17"/>
  <c r="R107" i="17"/>
  <c r="Q107" i="17"/>
  <c r="Q105" i="17" s="1"/>
  <c r="Q104" i="17" s="1"/>
  <c r="P107" i="17"/>
  <c r="M107" i="17"/>
  <c r="L107" i="17"/>
  <c r="K107" i="17"/>
  <c r="K105" i="17" s="1"/>
  <c r="K104" i="17" s="1"/>
  <c r="AT106" i="17"/>
  <c r="AR106" i="17"/>
  <c r="AQ106" i="17"/>
  <c r="AP106" i="17"/>
  <c r="AM106" i="17"/>
  <c r="AL106" i="17"/>
  <c r="AK106" i="17"/>
  <c r="Y106" i="17"/>
  <c r="H106" i="17"/>
  <c r="G106" i="17"/>
  <c r="F106" i="17"/>
  <c r="AT103" i="17"/>
  <c r="AO103" i="17"/>
  <c r="AJ103" i="17"/>
  <c r="AI103" i="17"/>
  <c r="AH103" i="17"/>
  <c r="AG103" i="17"/>
  <c r="AF103" i="17"/>
  <c r="Y103" i="17"/>
  <c r="T103" i="17"/>
  <c r="O103" i="17"/>
  <c r="J103" i="17"/>
  <c r="I103" i="17"/>
  <c r="H103" i="17"/>
  <c r="G103" i="17"/>
  <c r="F103" i="17"/>
  <c r="I102" i="17"/>
  <c r="H102" i="17"/>
  <c r="F102" i="17"/>
  <c r="I101" i="17"/>
  <c r="H101" i="17"/>
  <c r="F101" i="17"/>
  <c r="AY100" i="17"/>
  <c r="AT100" i="17"/>
  <c r="AO100" i="17"/>
  <c r="AJ100" i="17"/>
  <c r="AI100" i="17"/>
  <c r="AH100" i="17"/>
  <c r="AG100" i="17"/>
  <c r="AF100" i="17"/>
  <c r="Y100" i="17"/>
  <c r="T100" i="17"/>
  <c r="S100" i="17"/>
  <c r="R100" i="17"/>
  <c r="Q100" i="17"/>
  <c r="P100" i="17"/>
  <c r="N100" i="17"/>
  <c r="I100" i="17" s="1"/>
  <c r="M100" i="17"/>
  <c r="H100" i="17" s="1"/>
  <c r="K100" i="17"/>
  <c r="AY99" i="17"/>
  <c r="AT99" i="17"/>
  <c r="AO99" i="17"/>
  <c r="AJ99" i="17"/>
  <c r="AI99" i="17"/>
  <c r="AH99" i="17"/>
  <c r="AG99" i="17"/>
  <c r="AF99" i="17"/>
  <c r="Y99" i="17"/>
  <c r="T99" i="17"/>
  <c r="O99" i="17"/>
  <c r="J99" i="17"/>
  <c r="I99" i="17"/>
  <c r="H99" i="17"/>
  <c r="G99" i="17"/>
  <c r="F99" i="17"/>
  <c r="AY98" i="17"/>
  <c r="AT98" i="17"/>
  <c r="AO98" i="17"/>
  <c r="AJ98" i="17"/>
  <c r="AI98" i="17"/>
  <c r="AH98" i="17"/>
  <c r="AG98" i="17"/>
  <c r="AF98" i="17"/>
  <c r="Y98" i="17"/>
  <c r="T98" i="17"/>
  <c r="O98" i="17"/>
  <c r="J98" i="17"/>
  <c r="I98" i="17"/>
  <c r="H98" i="17"/>
  <c r="G98" i="17"/>
  <c r="F98" i="17"/>
  <c r="BC97" i="17"/>
  <c r="BB97" i="17"/>
  <c r="BA97" i="17"/>
  <c r="AZ97" i="17"/>
  <c r="AX97" i="17"/>
  <c r="AW97" i="17"/>
  <c r="AV97" i="17"/>
  <c r="AU97" i="17"/>
  <c r="AS97" i="17"/>
  <c r="AR97" i="17"/>
  <c r="AQ97" i="17"/>
  <c r="AP97" i="17"/>
  <c r="AN97" i="17"/>
  <c r="AM97" i="17"/>
  <c r="AL97" i="17"/>
  <c r="AK97" i="17"/>
  <c r="AC97" i="17"/>
  <c r="AB97" i="17"/>
  <c r="AA97" i="17"/>
  <c r="Z97" i="17"/>
  <c r="X97" i="17"/>
  <c r="W97" i="17"/>
  <c r="V97" i="17"/>
  <c r="U97" i="17"/>
  <c r="S97" i="17"/>
  <c r="R97" i="17"/>
  <c r="Q97" i="17"/>
  <c r="P97" i="17"/>
  <c r="N97" i="17"/>
  <c r="I97" i="17" s="1"/>
  <c r="M97" i="17"/>
  <c r="H97" i="17" s="1"/>
  <c r="L97" i="17"/>
  <c r="G97" i="17" s="1"/>
  <c r="K97" i="17"/>
  <c r="AY96" i="17"/>
  <c r="AT96" i="17"/>
  <c r="AO96" i="17"/>
  <c r="AJ96" i="17"/>
  <c r="AI96" i="17"/>
  <c r="AH96" i="17"/>
  <c r="AG96" i="17"/>
  <c r="AF96" i="17"/>
  <c r="Y96" i="17"/>
  <c r="T96" i="17"/>
  <c r="O96" i="17"/>
  <c r="J96" i="17"/>
  <c r="I96" i="17"/>
  <c r="H96" i="17"/>
  <c r="G96" i="17"/>
  <c r="F96" i="17"/>
  <c r="BC94" i="17"/>
  <c r="BB94" i="17"/>
  <c r="BA94" i="17"/>
  <c r="AX94" i="17"/>
  <c r="AW94" i="17"/>
  <c r="AS94" i="17"/>
  <c r="AR94" i="17"/>
  <c r="AQ94" i="17"/>
  <c r="AI95" i="17"/>
  <c r="AM94" i="17"/>
  <c r="AF95" i="17"/>
  <c r="AC94" i="17"/>
  <c r="AB94" i="17"/>
  <c r="Z94" i="17"/>
  <c r="X94" i="17"/>
  <c r="S94" i="17"/>
  <c r="P94" i="17"/>
  <c r="AZ94" i="17"/>
  <c r="AU94" i="17"/>
  <c r="AP94" i="17"/>
  <c r="AK94" i="17"/>
  <c r="AY93" i="17"/>
  <c r="AT93" i="17"/>
  <c r="AO93" i="17"/>
  <c r="AJ93" i="17"/>
  <c r="AI93" i="17"/>
  <c r="AH93" i="17"/>
  <c r="AG93" i="17"/>
  <c r="AF93" i="17"/>
  <c r="Y93" i="17"/>
  <c r="T93" i="17"/>
  <c r="O93" i="17"/>
  <c r="J93" i="17"/>
  <c r="I93" i="17"/>
  <c r="H93" i="17"/>
  <c r="G93" i="17"/>
  <c r="F93" i="17"/>
  <c r="AY92" i="17"/>
  <c r="AT92" i="17"/>
  <c r="AO92" i="17"/>
  <c r="AJ92" i="17"/>
  <c r="AI92" i="17"/>
  <c r="AH92" i="17"/>
  <c r="AG92" i="17"/>
  <c r="AF92" i="17"/>
  <c r="Y92" i="17"/>
  <c r="T92" i="17"/>
  <c r="O92" i="17"/>
  <c r="J92" i="17"/>
  <c r="I92" i="17"/>
  <c r="H92" i="17"/>
  <c r="G92" i="17"/>
  <c r="F92" i="17"/>
  <c r="AT91" i="17"/>
  <c r="AO91" i="17"/>
  <c r="AJ91" i="17"/>
  <c r="AI91" i="17"/>
  <c r="AH91" i="17"/>
  <c r="AG91" i="17"/>
  <c r="AF91" i="17"/>
  <c r="Y91" i="17"/>
  <c r="T91" i="17"/>
  <c r="O91" i="17"/>
  <c r="J91" i="17"/>
  <c r="I91" i="17"/>
  <c r="H91" i="17"/>
  <c r="G91" i="17"/>
  <c r="F91" i="17"/>
  <c r="AY90" i="17"/>
  <c r="AT90" i="17"/>
  <c r="AO90" i="17"/>
  <c r="AJ90" i="17"/>
  <c r="AI90" i="17"/>
  <c r="AH90" i="17"/>
  <c r="AG90" i="17"/>
  <c r="AF90" i="17"/>
  <c r="Y90" i="17"/>
  <c r="T90" i="17"/>
  <c r="O90" i="17"/>
  <c r="J90" i="17"/>
  <c r="I90" i="17"/>
  <c r="H90" i="17"/>
  <c r="G90" i="17"/>
  <c r="F90" i="17"/>
  <c r="AY89" i="17"/>
  <c r="AT89" i="17"/>
  <c r="AO89" i="17"/>
  <c r="AJ89" i="17"/>
  <c r="AI89" i="17"/>
  <c r="AH89" i="17"/>
  <c r="AG89" i="17"/>
  <c r="AF89" i="17"/>
  <c r="Y89" i="17"/>
  <c r="T89" i="17"/>
  <c r="O89" i="17"/>
  <c r="J89" i="17"/>
  <c r="I89" i="17"/>
  <c r="H89" i="17"/>
  <c r="G89" i="17"/>
  <c r="F89" i="17"/>
  <c r="AY88" i="17"/>
  <c r="AT88" i="17"/>
  <c r="AO88" i="17"/>
  <c r="AJ88" i="17"/>
  <c r="AI88" i="17"/>
  <c r="AH88" i="17"/>
  <c r="AG88" i="17"/>
  <c r="AF88" i="17"/>
  <c r="Y88" i="17"/>
  <c r="T88" i="17"/>
  <c r="O88" i="17"/>
  <c r="J88" i="17"/>
  <c r="I88" i="17"/>
  <c r="H88" i="17"/>
  <c r="G88" i="17"/>
  <c r="F88" i="17"/>
  <c r="AY87" i="17"/>
  <c r="AT87" i="17"/>
  <c r="AO87" i="17"/>
  <c r="AJ87" i="17"/>
  <c r="AI87" i="17"/>
  <c r="AH87" i="17"/>
  <c r="AG87" i="17"/>
  <c r="AF87" i="17"/>
  <c r="Y87" i="17"/>
  <c r="T87" i="17"/>
  <c r="O87" i="17"/>
  <c r="J87" i="17"/>
  <c r="I87" i="17"/>
  <c r="H87" i="17"/>
  <c r="G87" i="17"/>
  <c r="F87" i="17"/>
  <c r="BC85" i="17"/>
  <c r="BB85" i="17"/>
  <c r="AZ85" i="17"/>
  <c r="AW85" i="17"/>
  <c r="AV85" i="17"/>
  <c r="AU85" i="17"/>
  <c r="AS85" i="17"/>
  <c r="AR85" i="17"/>
  <c r="AP85" i="17"/>
  <c r="AN85" i="17"/>
  <c r="AC85" i="17"/>
  <c r="AB85" i="17"/>
  <c r="AA85" i="17"/>
  <c r="Z85" i="17"/>
  <c r="X85" i="17"/>
  <c r="W85" i="17"/>
  <c r="U85" i="17"/>
  <c r="S85" i="17"/>
  <c r="R85" i="17"/>
  <c r="Q85" i="17"/>
  <c r="G86" i="17"/>
  <c r="AX85" i="17"/>
  <c r="AL85" i="17"/>
  <c r="V85" i="17"/>
  <c r="AY84" i="17"/>
  <c r="AT84" i="17"/>
  <c r="AO84" i="17"/>
  <c r="AJ84" i="17"/>
  <c r="AI84" i="17"/>
  <c r="AH84" i="17"/>
  <c r="AG84" i="17"/>
  <c r="AF84" i="17"/>
  <c r="Y84" i="17"/>
  <c r="T84" i="17"/>
  <c r="O84" i="17"/>
  <c r="J84" i="17"/>
  <c r="I84" i="17"/>
  <c r="H84" i="17"/>
  <c r="G84" i="17"/>
  <c r="F84" i="17"/>
  <c r="I83" i="17"/>
  <c r="H83" i="17"/>
  <c r="F83" i="17"/>
  <c r="BC82" i="17"/>
  <c r="BC78" i="17" s="1"/>
  <c r="AZ82" i="17"/>
  <c r="AX82" i="17"/>
  <c r="AX78" i="17" s="1"/>
  <c r="AW82" i="17"/>
  <c r="AW78" i="17" s="1"/>
  <c r="AV82" i="17"/>
  <c r="AV78" i="17" s="1"/>
  <c r="AU82" i="17"/>
  <c r="AS82" i="17"/>
  <c r="AS78" i="17" s="1"/>
  <c r="AR82" i="17"/>
  <c r="AR78" i="17" s="1"/>
  <c r="AQ82" i="17"/>
  <c r="AQ78" i="17" s="1"/>
  <c r="AP82" i="17"/>
  <c r="AP78" i="17" s="1"/>
  <c r="AN82" i="17"/>
  <c r="AN78" i="17" s="1"/>
  <c r="AM82" i="17"/>
  <c r="AM78" i="17" s="1"/>
  <c r="AL82" i="17"/>
  <c r="Y82" i="17"/>
  <c r="T82" i="17"/>
  <c r="O82" i="17"/>
  <c r="K82" i="17"/>
  <c r="J82" i="17" s="1"/>
  <c r="I82" i="17"/>
  <c r="H82" i="17"/>
  <c r="G82" i="17"/>
  <c r="AT81" i="17"/>
  <c r="AO81" i="17"/>
  <c r="AJ81" i="17"/>
  <c r="AI81" i="17"/>
  <c r="AH81" i="17"/>
  <c r="AG81" i="17"/>
  <c r="AF81" i="17"/>
  <c r="Y81" i="17"/>
  <c r="T81" i="17"/>
  <c r="O81" i="17"/>
  <c r="K81" i="17"/>
  <c r="I81" i="17"/>
  <c r="H81" i="17"/>
  <c r="G81" i="17"/>
  <c r="AT80" i="17"/>
  <c r="AO80" i="17"/>
  <c r="AJ80" i="17"/>
  <c r="AI80" i="17"/>
  <c r="AH80" i="17"/>
  <c r="AG80" i="17"/>
  <c r="AF80" i="17"/>
  <c r="Y80" i="17"/>
  <c r="T80" i="17"/>
  <c r="O80" i="17"/>
  <c r="J80" i="17"/>
  <c r="I80" i="17"/>
  <c r="H80" i="17"/>
  <c r="G80" i="17"/>
  <c r="F80" i="17"/>
  <c r="AC77" i="17"/>
  <c r="X77" i="17"/>
  <c r="S77" i="17"/>
  <c r="R77" i="17"/>
  <c r="Q77" i="17"/>
  <c r="I78" i="17"/>
  <c r="M77" i="17"/>
  <c r="AA77" i="17"/>
  <c r="AY76" i="17"/>
  <c r="AT76" i="17"/>
  <c r="AO76" i="17"/>
  <c r="AJ76" i="17"/>
  <c r="AI76" i="17"/>
  <c r="AH76" i="17"/>
  <c r="AG76" i="17"/>
  <c r="AF76" i="17"/>
  <c r="Y76" i="17"/>
  <c r="T76" i="17"/>
  <c r="O76" i="17"/>
  <c r="J76" i="17"/>
  <c r="I76" i="17"/>
  <c r="H76" i="17"/>
  <c r="G76" i="17"/>
  <c r="F76" i="17"/>
  <c r="I75" i="17"/>
  <c r="H75" i="17"/>
  <c r="F75" i="17"/>
  <c r="I74" i="17"/>
  <c r="H74" i="17"/>
  <c r="F74" i="17"/>
  <c r="AY73" i="17"/>
  <c r="AT73" i="17"/>
  <c r="AS73" i="17"/>
  <c r="AR73" i="17"/>
  <c r="AQ73" i="17"/>
  <c r="AP73" i="17"/>
  <c r="AO73" i="17"/>
  <c r="AN73" i="17"/>
  <c r="AM73" i="17"/>
  <c r="AL73" i="17"/>
  <c r="AK73" i="17"/>
  <c r="AJ73" i="17"/>
  <c r="AI73" i="17"/>
  <c r="AH73" i="17"/>
  <c r="AG73" i="17"/>
  <c r="AF73" i="17"/>
  <c r="AE73" i="17"/>
  <c r="AD73" i="17"/>
  <c r="AC73" i="17"/>
  <c r="AB73" i="17"/>
  <c r="AA73" i="17"/>
  <c r="Z73" i="17"/>
  <c r="Y73" i="17"/>
  <c r="X73" i="17"/>
  <c r="W73" i="17"/>
  <c r="V73" i="17"/>
  <c r="U73" i="17"/>
  <c r="U72" i="17" s="1"/>
  <c r="T73" i="17"/>
  <c r="S73" i="17"/>
  <c r="R73" i="17"/>
  <c r="Q73" i="17"/>
  <c r="P73" i="17"/>
  <c r="O73" i="17"/>
  <c r="N73" i="17"/>
  <c r="M73" i="17"/>
  <c r="K73" i="17"/>
  <c r="D73" i="17"/>
  <c r="D72" i="17" s="1"/>
  <c r="D71" i="17" s="1"/>
  <c r="D25" i="17" s="1"/>
  <c r="D23" i="17" s="1"/>
  <c r="BC72" i="17"/>
  <c r="BB72" i="17"/>
  <c r="BA72" i="17"/>
  <c r="AZ72" i="17"/>
  <c r="AX72" i="17"/>
  <c r="AW72" i="17"/>
  <c r="AV72" i="17"/>
  <c r="AU72" i="17"/>
  <c r="AY82" i="17" l="1"/>
  <c r="AY72" i="17"/>
  <c r="AH97" i="17"/>
  <c r="AZ78" i="17"/>
  <c r="AY78" i="17" s="1"/>
  <c r="AU78" i="17"/>
  <c r="AT78" i="17" s="1"/>
  <c r="AT82" i="17"/>
  <c r="K78" i="17"/>
  <c r="K77" i="17" s="1"/>
  <c r="AE88" i="17"/>
  <c r="AL78" i="17"/>
  <c r="AL77" i="17" s="1"/>
  <c r="AR77" i="17"/>
  <c r="AQ77" i="17"/>
  <c r="AN77" i="17"/>
  <c r="AP77" i="17"/>
  <c r="AJ95" i="17"/>
  <c r="AT95" i="17"/>
  <c r="E98" i="17"/>
  <c r="AI82" i="17"/>
  <c r="AH82" i="17"/>
  <c r="AO82" i="17"/>
  <c r="AE87" i="17"/>
  <c r="E88" i="17"/>
  <c r="AT72" i="17"/>
  <c r="AS72" i="17" s="1"/>
  <c r="AR72" i="17" s="1"/>
  <c r="G107" i="17"/>
  <c r="AK107" i="17"/>
  <c r="I73" i="17"/>
  <c r="W77" i="17"/>
  <c r="AG82" i="17"/>
  <c r="E99" i="17"/>
  <c r="AE91" i="17"/>
  <c r="E103" i="17"/>
  <c r="F73" i="17"/>
  <c r="T78" i="17"/>
  <c r="AK85" i="17"/>
  <c r="AF85" i="17" s="1"/>
  <c r="R94" i="17"/>
  <c r="AL94" i="17"/>
  <c r="H73" i="17"/>
  <c r="AE92" i="17"/>
  <c r="AE93" i="17"/>
  <c r="O97" i="17"/>
  <c r="Y97" i="17"/>
  <c r="AY97" i="17"/>
  <c r="H107" i="17"/>
  <c r="AI78" i="17"/>
  <c r="AQ85" i="17"/>
  <c r="AO85" i="17" s="1"/>
  <c r="T86" i="17"/>
  <c r="AE98" i="17"/>
  <c r="AR107" i="17"/>
  <c r="AR105" i="17" s="1"/>
  <c r="AR104" i="17" s="1"/>
  <c r="H78" i="17"/>
  <c r="AI85" i="17"/>
  <c r="AE89" i="17"/>
  <c r="AE90" i="17"/>
  <c r="E92" i="17"/>
  <c r="E96" i="17"/>
  <c r="AE84" i="17"/>
  <c r="E91" i="17"/>
  <c r="AT97" i="17"/>
  <c r="E76" i="17"/>
  <c r="V77" i="17"/>
  <c r="U77" i="17" s="1"/>
  <c r="T77" i="17" s="1"/>
  <c r="AT85" i="17"/>
  <c r="E87" i="17"/>
  <c r="AV94" i="17"/>
  <c r="AT94" i="17" s="1"/>
  <c r="O100" i="17"/>
  <c r="AE103" i="17"/>
  <c r="U105" i="17"/>
  <c r="U104" i="17" s="1"/>
  <c r="AL107" i="17"/>
  <c r="O86" i="17"/>
  <c r="P85" i="17"/>
  <c r="O85" i="17" s="1"/>
  <c r="N85" i="17" s="1"/>
  <c r="BA85" i="17"/>
  <c r="AY85" i="17" s="1"/>
  <c r="AG86" i="17"/>
  <c r="G95" i="17"/>
  <c r="Y95" i="17"/>
  <c r="AA94" i="17"/>
  <c r="Y94" i="17" s="1"/>
  <c r="AH95" i="17"/>
  <c r="AE76" i="17"/>
  <c r="AB77" i="17"/>
  <c r="O78" i="17"/>
  <c r="P77" i="17"/>
  <c r="O77" i="17" s="1"/>
  <c r="N77" i="17" s="1"/>
  <c r="I77" i="17" s="1"/>
  <c r="AJ86" i="17"/>
  <c r="AF86" i="17"/>
  <c r="J95" i="17"/>
  <c r="F95" i="17"/>
  <c r="AF97" i="17"/>
  <c r="Y78" i="17"/>
  <c r="AE80" i="17"/>
  <c r="I86" i="17"/>
  <c r="F100" i="17"/>
  <c r="AQ72" i="17"/>
  <c r="AM77" i="17"/>
  <c r="J86" i="17"/>
  <c r="F86" i="17"/>
  <c r="J81" i="17"/>
  <c r="E81" i="17" s="1"/>
  <c r="T85" i="17"/>
  <c r="AI86" i="17"/>
  <c r="AF94" i="17"/>
  <c r="AO94" i="17"/>
  <c r="AN94" i="17" s="1"/>
  <c r="I95" i="17"/>
  <c r="AG97" i="17"/>
  <c r="AJ97" i="17"/>
  <c r="W94" i="17"/>
  <c r="V94" i="17" s="1"/>
  <c r="U94" i="17" s="1"/>
  <c r="T94" i="17" s="1"/>
  <c r="Y104" i="17"/>
  <c r="P105" i="17"/>
  <c r="P104" i="17" s="1"/>
  <c r="AU105" i="17"/>
  <c r="AU104" i="17" s="1"/>
  <c r="AT107" i="17"/>
  <c r="Z77" i="17"/>
  <c r="E84" i="17"/>
  <c r="Y86" i="17"/>
  <c r="AT86" i="17"/>
  <c r="E89" i="17"/>
  <c r="E93" i="17"/>
  <c r="Q94" i="17"/>
  <c r="T95" i="17"/>
  <c r="AO95" i="17"/>
  <c r="J97" i="17"/>
  <c r="F97" i="17"/>
  <c r="AI97" i="17"/>
  <c r="AE99" i="17"/>
  <c r="AE100" i="17"/>
  <c r="F107" i="17"/>
  <c r="E80" i="17"/>
  <c r="Y85" i="17"/>
  <c r="H86" i="17"/>
  <c r="AH86" i="17"/>
  <c r="E90" i="17"/>
  <c r="AY94" i="17"/>
  <c r="H95" i="17"/>
  <c r="AG95" i="17"/>
  <c r="AY95" i="17"/>
  <c r="AE96" i="17"/>
  <c r="T97" i="17"/>
  <c r="AO97" i="17"/>
  <c r="AP107" i="17"/>
  <c r="AQ107" i="17"/>
  <c r="AE81" i="17"/>
  <c r="Y105" i="17"/>
  <c r="Y107" i="17"/>
  <c r="AM85" i="17"/>
  <c r="AH85" i="17" s="1"/>
  <c r="AO78" i="17"/>
  <c r="F81" i="17"/>
  <c r="F82" i="17"/>
  <c r="E82" i="17"/>
  <c r="AY70" i="17"/>
  <c r="AT70" i="17"/>
  <c r="AO70" i="17"/>
  <c r="AJ70" i="17"/>
  <c r="AI70" i="17"/>
  <c r="AH70" i="17"/>
  <c r="AG70" i="17"/>
  <c r="AF70" i="17"/>
  <c r="Y70" i="17"/>
  <c r="T70" i="17"/>
  <c r="O70" i="17"/>
  <c r="J70" i="17"/>
  <c r="I70" i="17"/>
  <c r="H70" i="17"/>
  <c r="G70" i="17"/>
  <c r="F70" i="17"/>
  <c r="AY69" i="17"/>
  <c r="AT69" i="17"/>
  <c r="AO69" i="17"/>
  <c r="AJ69" i="17"/>
  <c r="AI69" i="17"/>
  <c r="AH69" i="17"/>
  <c r="AG69" i="17"/>
  <c r="AF69" i="17"/>
  <c r="Y69" i="17"/>
  <c r="T69" i="17"/>
  <c r="O69" i="17"/>
  <c r="J69" i="17"/>
  <c r="I69" i="17"/>
  <c r="H69" i="17"/>
  <c r="G69" i="17"/>
  <c r="F69" i="17"/>
  <c r="BC68" i="17"/>
  <c r="BB68" i="17"/>
  <c r="BA68" i="17"/>
  <c r="AZ68" i="17"/>
  <c r="AX68" i="17"/>
  <c r="AW68" i="17"/>
  <c r="AV68" i="17"/>
  <c r="AU68" i="17"/>
  <c r="AS68" i="17"/>
  <c r="AR68" i="17"/>
  <c r="AQ68" i="17"/>
  <c r="AP68" i="17"/>
  <c r="AN68" i="17"/>
  <c r="AM68" i="17"/>
  <c r="AL68" i="17"/>
  <c r="AK68" i="17"/>
  <c r="AF68" i="17" s="1"/>
  <c r="AC68" i="17"/>
  <c r="AB68" i="17"/>
  <c r="AA68" i="17"/>
  <c r="Z68" i="17"/>
  <c r="X68" i="17"/>
  <c r="W68" i="17"/>
  <c r="V68" i="17"/>
  <c r="U68" i="17"/>
  <c r="S68" i="17"/>
  <c r="R68" i="17"/>
  <c r="Q68" i="17"/>
  <c r="P68" i="17"/>
  <c r="N68" i="17"/>
  <c r="I68" i="17" s="1"/>
  <c r="M68" i="17"/>
  <c r="L68" i="17"/>
  <c r="G68" i="17" s="1"/>
  <c r="K68" i="17"/>
  <c r="F68" i="17" s="1"/>
  <c r="AY67" i="17"/>
  <c r="AT67" i="17"/>
  <c r="AO67" i="17"/>
  <c r="AJ67" i="17"/>
  <c r="AI67" i="17"/>
  <c r="AH67" i="17"/>
  <c r="AG67" i="17"/>
  <c r="AF67" i="17"/>
  <c r="Y67" i="17"/>
  <c r="T67" i="17"/>
  <c r="O67" i="17"/>
  <c r="J67" i="17"/>
  <c r="I67" i="17"/>
  <c r="H67" i="17"/>
  <c r="G67" i="17"/>
  <c r="F67" i="17"/>
  <c r="AY66" i="17"/>
  <c r="AT66" i="17"/>
  <c r="AO66" i="17"/>
  <c r="AJ66" i="17"/>
  <c r="AI66" i="17"/>
  <c r="AH66" i="17"/>
  <c r="AG66" i="17"/>
  <c r="AF66" i="17"/>
  <c r="Y66" i="17"/>
  <c r="T66" i="17"/>
  <c r="O66" i="17"/>
  <c r="J66" i="17"/>
  <c r="I66" i="17"/>
  <c r="H66" i="17"/>
  <c r="G66" i="17"/>
  <c r="F66" i="17"/>
  <c r="AY65" i="17"/>
  <c r="AT65" i="17"/>
  <c r="AO65" i="17"/>
  <c r="AJ65" i="17"/>
  <c r="AI65" i="17"/>
  <c r="AH65" i="17"/>
  <c r="AG65" i="17"/>
  <c r="AF65" i="17"/>
  <c r="Y65" i="17"/>
  <c r="T65" i="17"/>
  <c r="O65" i="17"/>
  <c r="J65" i="17"/>
  <c r="I65" i="17"/>
  <c r="H65" i="17"/>
  <c r="G65" i="17"/>
  <c r="F65" i="17"/>
  <c r="AT64" i="17"/>
  <c r="AO64" i="17"/>
  <c r="AJ64" i="17"/>
  <c r="AI64" i="17"/>
  <c r="AH64" i="17"/>
  <c r="AG64" i="17"/>
  <c r="AF64" i="17"/>
  <c r="Y64" i="17"/>
  <c r="T64" i="17"/>
  <c r="O64" i="17"/>
  <c r="J64" i="17"/>
  <c r="I64" i="17"/>
  <c r="H64" i="17"/>
  <c r="G64" i="17"/>
  <c r="F64" i="17"/>
  <c r="AT63" i="17"/>
  <c r="AO63" i="17"/>
  <c r="AJ63" i="17"/>
  <c r="AI63" i="17"/>
  <c r="AH63" i="17"/>
  <c r="AG63" i="17"/>
  <c r="AF63" i="17"/>
  <c r="Y63" i="17"/>
  <c r="T63" i="17"/>
  <c r="O63" i="17"/>
  <c r="J63" i="17"/>
  <c r="I63" i="17"/>
  <c r="H63" i="17"/>
  <c r="G63" i="17"/>
  <c r="F63" i="17"/>
  <c r="AT62" i="17"/>
  <c r="AO62" i="17"/>
  <c r="AJ62" i="17"/>
  <c r="AI62" i="17"/>
  <c r="AH62" i="17"/>
  <c r="AG62" i="17"/>
  <c r="AF62" i="17"/>
  <c r="Y62" i="17"/>
  <c r="T62" i="17"/>
  <c r="O62" i="17"/>
  <c r="J62" i="17"/>
  <c r="I62" i="17"/>
  <c r="H62" i="17"/>
  <c r="G62" i="17"/>
  <c r="F62" i="17"/>
  <c r="AY61" i="17"/>
  <c r="AT61" i="17"/>
  <c r="AO61" i="17"/>
  <c r="AJ61" i="17"/>
  <c r="AI61" i="17"/>
  <c r="AH61" i="17"/>
  <c r="AG61" i="17"/>
  <c r="AF61" i="17"/>
  <c r="Y61" i="17"/>
  <c r="T61" i="17"/>
  <c r="O61" i="17"/>
  <c r="J61" i="17"/>
  <c r="I61" i="17"/>
  <c r="H61" i="17"/>
  <c r="G61" i="17"/>
  <c r="F61" i="17"/>
  <c r="AY60" i="17"/>
  <c r="AT60" i="17"/>
  <c r="AO60" i="17"/>
  <c r="AJ60" i="17"/>
  <c r="AI60" i="17"/>
  <c r="AH60" i="17"/>
  <c r="AG60" i="17"/>
  <c r="AF60" i="17"/>
  <c r="Y60" i="17"/>
  <c r="T60" i="17"/>
  <c r="O60" i="17"/>
  <c r="J60" i="17"/>
  <c r="I60" i="17"/>
  <c r="H60" i="17"/>
  <c r="G60" i="17"/>
  <c r="F60" i="17"/>
  <c r="BC59" i="17"/>
  <c r="BB59" i="17"/>
  <c r="BA59" i="17"/>
  <c r="AZ59" i="17"/>
  <c r="AX59" i="17"/>
  <c r="AW59" i="17"/>
  <c r="AV59" i="17"/>
  <c r="AU59" i="17"/>
  <c r="AS59" i="17"/>
  <c r="AR59" i="17"/>
  <c r="AQ59" i="17"/>
  <c r="AP59" i="17"/>
  <c r="AN59" i="17"/>
  <c r="AM59" i="17"/>
  <c r="AL59" i="17"/>
  <c r="AK59" i="17"/>
  <c r="AC59" i="17"/>
  <c r="AB59" i="17"/>
  <c r="AA59" i="17"/>
  <c r="Z59" i="17"/>
  <c r="X59" i="17"/>
  <c r="W59" i="17"/>
  <c r="V59" i="17"/>
  <c r="U59" i="17"/>
  <c r="S59" i="17"/>
  <c r="R59" i="17"/>
  <c r="Q59" i="17"/>
  <c r="P59" i="17"/>
  <c r="N59" i="17"/>
  <c r="M59" i="17"/>
  <c r="H59" i="17" s="1"/>
  <c r="L59" i="17"/>
  <c r="K59" i="17"/>
  <c r="AY58" i="17"/>
  <c r="AT58" i="17"/>
  <c r="AO58" i="17"/>
  <c r="AJ58" i="17"/>
  <c r="AI58" i="17"/>
  <c r="AH58" i="17"/>
  <c r="AG58" i="17"/>
  <c r="AF58" i="17"/>
  <c r="Y58" i="17"/>
  <c r="T58" i="17"/>
  <c r="O58" i="17"/>
  <c r="J58" i="17"/>
  <c r="I58" i="17"/>
  <c r="H58" i="17"/>
  <c r="G58" i="17"/>
  <c r="F58" i="17"/>
  <c r="AY57" i="17"/>
  <c r="AT57" i="17"/>
  <c r="AO57" i="17"/>
  <c r="AJ57" i="17"/>
  <c r="AI57" i="17"/>
  <c r="AH57" i="17"/>
  <c r="AG57" i="17"/>
  <c r="AF57" i="17"/>
  <c r="Y57" i="17"/>
  <c r="T57" i="17"/>
  <c r="O57" i="17"/>
  <c r="J57" i="17"/>
  <c r="I57" i="17"/>
  <c r="H57" i="17"/>
  <c r="G57" i="17"/>
  <c r="F57" i="17"/>
  <c r="BC56" i="17"/>
  <c r="BB56" i="17"/>
  <c r="BA56" i="17"/>
  <c r="AZ56" i="17"/>
  <c r="AX56" i="17"/>
  <c r="AW56" i="17"/>
  <c r="AV56" i="17"/>
  <c r="AU56" i="17"/>
  <c r="AS56" i="17"/>
  <c r="AR56" i="17"/>
  <c r="AQ56" i="17"/>
  <c r="AP56" i="17"/>
  <c r="AN56" i="17"/>
  <c r="AM56" i="17"/>
  <c r="AL56" i="17"/>
  <c r="AK56" i="17"/>
  <c r="AC56" i="17"/>
  <c r="AB56" i="17"/>
  <c r="AA56" i="17"/>
  <c r="Z56" i="17"/>
  <c r="X56" i="17"/>
  <c r="W56" i="17"/>
  <c r="V56" i="17"/>
  <c r="U56" i="17"/>
  <c r="S56" i="17"/>
  <c r="R56" i="17"/>
  <c r="Q56" i="17"/>
  <c r="P56" i="17"/>
  <c r="N56" i="17"/>
  <c r="I56" i="17" s="1"/>
  <c r="M56" i="17"/>
  <c r="H56" i="17" s="1"/>
  <c r="L56" i="17"/>
  <c r="K56" i="17"/>
  <c r="AY55" i="17"/>
  <c r="AT55" i="17"/>
  <c r="AO55" i="17"/>
  <c r="AJ55" i="17"/>
  <c r="AI55" i="17"/>
  <c r="AH55" i="17"/>
  <c r="AG55" i="17"/>
  <c r="AF55" i="17"/>
  <c r="T55" i="17"/>
  <c r="O55" i="17"/>
  <c r="J55" i="17"/>
  <c r="I55" i="17"/>
  <c r="H55" i="17"/>
  <c r="G55" i="17"/>
  <c r="F55" i="17"/>
  <c r="AI48" i="17"/>
  <c r="AH48" i="17"/>
  <c r="O48" i="17"/>
  <c r="I48" i="17"/>
  <c r="H48" i="17"/>
  <c r="G48" i="17"/>
  <c r="F48" i="17"/>
  <c r="J38" i="17"/>
  <c r="I59" i="17" l="1"/>
  <c r="AZ77" i="17"/>
  <c r="AR71" i="17"/>
  <c r="O94" i="17"/>
  <c r="N94" i="17" s="1"/>
  <c r="I94" i="17" s="1"/>
  <c r="AG94" i="17"/>
  <c r="H77" i="17"/>
  <c r="AG78" i="17"/>
  <c r="Y77" i="17"/>
  <c r="AH78" i="17"/>
  <c r="AE55" i="17"/>
  <c r="E55" i="17"/>
  <c r="AE60" i="17"/>
  <c r="AE64" i="17"/>
  <c r="AE66" i="17"/>
  <c r="E67" i="17"/>
  <c r="AY56" i="17"/>
  <c r="E97" i="17"/>
  <c r="AG38" i="17"/>
  <c r="E48" i="17"/>
  <c r="AE58" i="17"/>
  <c r="T59" i="17"/>
  <c r="AJ38" i="17"/>
  <c r="AH38" i="17"/>
  <c r="AJ56" i="17"/>
  <c r="AT56" i="17"/>
  <c r="AI56" i="17"/>
  <c r="AH56" i="17" s="1"/>
  <c r="AE69" i="17"/>
  <c r="AO59" i="17"/>
  <c r="AT59" i="17"/>
  <c r="E60" i="17"/>
  <c r="J68" i="17"/>
  <c r="AE97" i="17"/>
  <c r="AJ85" i="17"/>
  <c r="Y56" i="17"/>
  <c r="AE65" i="17"/>
  <c r="AG56" i="17"/>
  <c r="AI59" i="17"/>
  <c r="AE62" i="17"/>
  <c r="AE70" i="17"/>
  <c r="H68" i="17"/>
  <c r="E57" i="17"/>
  <c r="E58" i="17"/>
  <c r="E61" i="17"/>
  <c r="E62" i="17"/>
  <c r="AE67" i="17"/>
  <c r="AI68" i="17"/>
  <c r="AH68" i="17" s="1"/>
  <c r="F78" i="17"/>
  <c r="E38" i="17"/>
  <c r="AE48" i="17"/>
  <c r="T56" i="17"/>
  <c r="AE57" i="17"/>
  <c r="AE61" i="17"/>
  <c r="E63" i="17"/>
  <c r="E64" i="17"/>
  <c r="T68" i="17"/>
  <c r="AT68" i="17"/>
  <c r="E69" i="17"/>
  <c r="E86" i="17"/>
  <c r="E95" i="17"/>
  <c r="AI38" i="17"/>
  <c r="AY59" i="17"/>
  <c r="AO37" i="17"/>
  <c r="G56" i="17"/>
  <c r="J59" i="17"/>
  <c r="Y59" i="17"/>
  <c r="AF59" i="17"/>
  <c r="AH59" i="17"/>
  <c r="AG59" i="17" s="1"/>
  <c r="AE63" i="17"/>
  <c r="E65" i="17"/>
  <c r="E66" i="17"/>
  <c r="Y68" i="17"/>
  <c r="AG68" i="17"/>
  <c r="AY68" i="17"/>
  <c r="E70" i="17"/>
  <c r="U71" i="17"/>
  <c r="AE95" i="17"/>
  <c r="AO38" i="17"/>
  <c r="AF38" i="17"/>
  <c r="AO68" i="17"/>
  <c r="F56" i="17"/>
  <c r="J56" i="17"/>
  <c r="AF56" i="17"/>
  <c r="AO56" i="17"/>
  <c r="G59" i="17"/>
  <c r="F59" i="17" s="1"/>
  <c r="O59" i="17"/>
  <c r="AP72" i="17"/>
  <c r="AQ71" i="17"/>
  <c r="AQ105" i="17"/>
  <c r="AQ104" i="17" s="1"/>
  <c r="AE86" i="17"/>
  <c r="O56" i="17"/>
  <c r="AJ59" i="17"/>
  <c r="AJ68" i="17"/>
  <c r="AG85" i="17"/>
  <c r="AI94" i="17"/>
  <c r="AH94" i="17" s="1"/>
  <c r="AJ94" i="17"/>
  <c r="AE94" i="17" s="1"/>
  <c r="M94" i="17"/>
  <c r="O38" i="17"/>
  <c r="O68" i="17"/>
  <c r="AT104" i="17"/>
  <c r="AT105" i="17"/>
  <c r="AE85" i="17"/>
  <c r="M85" i="17"/>
  <c r="I85" i="17"/>
  <c r="K72" i="17"/>
  <c r="F77" i="17"/>
  <c r="M105" i="17"/>
  <c r="M104" i="17" s="1"/>
  <c r="AJ78" i="17"/>
  <c r="AE78" i="17" s="1"/>
  <c r="AF78" i="17"/>
  <c r="AJ82" i="17"/>
  <c r="AE82" i="17" s="1"/>
  <c r="AF82" i="17"/>
  <c r="AK77" i="17"/>
  <c r="AI37" i="17"/>
  <c r="AH37" i="17"/>
  <c r="AG37" i="17" s="1"/>
  <c r="AF36" i="17"/>
  <c r="J36" i="17"/>
  <c r="AO35" i="17"/>
  <c r="AH35" i="17"/>
  <c r="P35" i="17"/>
  <c r="J35" i="17"/>
  <c r="AP32" i="17"/>
  <c r="AI34" i="17"/>
  <c r="O34" i="17"/>
  <c r="M30" i="17"/>
  <c r="J34" i="17"/>
  <c r="AN32" i="17"/>
  <c r="AF33" i="17"/>
  <c r="R33" i="17"/>
  <c r="BC31" i="17"/>
  <c r="BC30" i="17" s="1"/>
  <c r="BB31" i="17"/>
  <c r="BB30" i="17" s="1"/>
  <c r="BA31" i="17"/>
  <c r="AZ31" i="17"/>
  <c r="AZ30" i="17" s="1"/>
  <c r="AZ24" i="17" s="1"/>
  <c r="AX31" i="17"/>
  <c r="AX30" i="17" s="1"/>
  <c r="AW31" i="17"/>
  <c r="AW30" i="17" s="1"/>
  <c r="AV31" i="17"/>
  <c r="AV30" i="17" s="1"/>
  <c r="AU31" i="17"/>
  <c r="AU30" i="17" s="1"/>
  <c r="AC31" i="17"/>
  <c r="AB31" i="17" s="1"/>
  <c r="AA31" i="17" s="1"/>
  <c r="Z31" i="17" s="1"/>
  <c r="Y31" i="17" s="1"/>
  <c r="X31" i="17" s="1"/>
  <c r="S31" i="17"/>
  <c r="S30" i="17" s="1"/>
  <c r="AA29" i="17"/>
  <c r="Z29" i="17" s="1"/>
  <c r="Q29" i="17"/>
  <c r="P29" i="17" s="1"/>
  <c r="K29" i="17"/>
  <c r="BC28" i="17"/>
  <c r="BB28" i="17"/>
  <c r="BA28" i="17"/>
  <c r="AZ28" i="17"/>
  <c r="AX28" i="17"/>
  <c r="AW28" i="17"/>
  <c r="AV28" i="17"/>
  <c r="AU28" i="17"/>
  <c r="AS28" i="17"/>
  <c r="AR28" i="17"/>
  <c r="AQ28" i="17"/>
  <c r="AP28" i="17"/>
  <c r="AN28" i="17"/>
  <c r="AI28" i="17" s="1"/>
  <c r="AM28" i="17"/>
  <c r="AL28" i="17"/>
  <c r="AK28" i="17"/>
  <c r="AC28" i="17"/>
  <c r="AB28" i="17"/>
  <c r="AA28" i="17"/>
  <c r="Z28" i="17"/>
  <c r="X28" i="17"/>
  <c r="W28" i="17"/>
  <c r="V28" i="17"/>
  <c r="U28" i="17"/>
  <c r="S28" i="17"/>
  <c r="R28" i="17"/>
  <c r="Q28" i="17"/>
  <c r="P28" i="17"/>
  <c r="N28" i="17"/>
  <c r="I28" i="17" s="1"/>
  <c r="M28" i="17"/>
  <c r="L28" i="17"/>
  <c r="K28" i="17"/>
  <c r="F28" i="17" s="1"/>
  <c r="BC27" i="17"/>
  <c r="BB27" i="17"/>
  <c r="BA27" i="17"/>
  <c r="AZ27" i="17"/>
  <c r="AX27" i="17"/>
  <c r="AW27" i="17"/>
  <c r="AV27" i="17"/>
  <c r="AU27" i="17"/>
  <c r="AS27" i="17"/>
  <c r="AR27" i="17"/>
  <c r="AQ27" i="17"/>
  <c r="AP27" i="17"/>
  <c r="AN27" i="17"/>
  <c r="AI27" i="17" s="1"/>
  <c r="AM27" i="17"/>
  <c r="AL27" i="17"/>
  <c r="AK27" i="17"/>
  <c r="AC27" i="17"/>
  <c r="AB27" i="17"/>
  <c r="AA27" i="17"/>
  <c r="Z27" i="17"/>
  <c r="X27" i="17"/>
  <c r="W27" i="17"/>
  <c r="V27" i="17"/>
  <c r="U27" i="17"/>
  <c r="S27" i="17"/>
  <c r="R27" i="17" s="1"/>
  <c r="Q27" i="17" s="1"/>
  <c r="P27" i="17"/>
  <c r="M27" i="17"/>
  <c r="K27" i="17"/>
  <c r="AJ27" i="17" l="1"/>
  <c r="AO27" i="17"/>
  <c r="AT27" i="17"/>
  <c r="AY27" i="17"/>
  <c r="AJ28" i="17"/>
  <c r="AO28" i="17"/>
  <c r="AT28" i="17"/>
  <c r="AY28" i="17"/>
  <c r="H33" i="17"/>
  <c r="H32" i="17" s="1"/>
  <c r="R32" i="17"/>
  <c r="F35" i="17"/>
  <c r="F32" i="17" s="1"/>
  <c r="P32" i="17"/>
  <c r="P31" i="17" s="1"/>
  <c r="P30" i="17" s="1"/>
  <c r="P24" i="17" s="1"/>
  <c r="AZ71" i="17"/>
  <c r="AZ25" i="17" s="1"/>
  <c r="AY31" i="17"/>
  <c r="BA30" i="17"/>
  <c r="AY30" i="17" s="1"/>
  <c r="AM32" i="17"/>
  <c r="AM31" i="17" s="1"/>
  <c r="AM30" i="17" s="1"/>
  <c r="AQ32" i="17"/>
  <c r="AQ31" i="17" s="1"/>
  <c r="AS32" i="17"/>
  <c r="AS31" i="17" s="1"/>
  <c r="AS30" i="17" s="1"/>
  <c r="AS24" i="17" s="1"/>
  <c r="AG33" i="17"/>
  <c r="AL32" i="17"/>
  <c r="AH34" i="17"/>
  <c r="AR32" i="17"/>
  <c r="AP105" i="17"/>
  <c r="AP104" i="17" s="1"/>
  <c r="AF34" i="17"/>
  <c r="AU29" i="17"/>
  <c r="AI36" i="17"/>
  <c r="AJ36" i="17"/>
  <c r="E68" i="17"/>
  <c r="AE59" i="17"/>
  <c r="AE56" i="17"/>
  <c r="AE38" i="17"/>
  <c r="J28" i="17"/>
  <c r="H28" i="17"/>
  <c r="AE68" i="17"/>
  <c r="AH36" i="17"/>
  <c r="AG36" i="17" s="1"/>
  <c r="T27" i="17"/>
  <c r="AT30" i="17"/>
  <c r="AG35" i="17"/>
  <c r="AF35" i="17" s="1"/>
  <c r="O27" i="17"/>
  <c r="N27" i="17" s="1"/>
  <c r="I27" i="17" s="1"/>
  <c r="AG28" i="17"/>
  <c r="AF27" i="17"/>
  <c r="AH27" i="17"/>
  <c r="Y28" i="17"/>
  <c r="AF28" i="17"/>
  <c r="AH28" i="17"/>
  <c r="O33" i="17"/>
  <c r="H27" i="17"/>
  <c r="AJ35" i="17"/>
  <c r="AI35" i="17" s="1"/>
  <c r="Y27" i="17"/>
  <c r="T28" i="17"/>
  <c r="AJ34" i="17"/>
  <c r="AO36" i="17"/>
  <c r="E59" i="17"/>
  <c r="E56" i="17"/>
  <c r="L30" i="17"/>
  <c r="L85" i="17"/>
  <c r="H85" i="17"/>
  <c r="AG27" i="17"/>
  <c r="G28" i="17"/>
  <c r="O28" i="17"/>
  <c r="AT31" i="17"/>
  <c r="L105" i="17"/>
  <c r="L104" i="17" s="1"/>
  <c r="L94" i="17"/>
  <c r="H94" i="17"/>
  <c r="AO72" i="17"/>
  <c r="AN72" i="17" s="1"/>
  <c r="AP71" i="17"/>
  <c r="AH33" i="17"/>
  <c r="AG34" i="17"/>
  <c r="O35" i="17"/>
  <c r="AJ33" i="17"/>
  <c r="AI33" i="17" s="1"/>
  <c r="AO33" i="17"/>
  <c r="E34" i="17"/>
  <c r="AO34" i="17"/>
  <c r="W31" i="17"/>
  <c r="V31" i="17" s="1"/>
  <c r="AJ77" i="17"/>
  <c r="BB26" i="17"/>
  <c r="BA26" i="17"/>
  <c r="AZ26" i="17"/>
  <c r="AX26" i="17"/>
  <c r="AW26" i="17" s="1"/>
  <c r="AV26" i="17" s="1"/>
  <c r="AU26" i="17"/>
  <c r="AR26" i="17"/>
  <c r="AQ26" i="17"/>
  <c r="AP26" i="17" s="1"/>
  <c r="AL26" i="17"/>
  <c r="AK26" i="17" s="1"/>
  <c r="AA26" i="17"/>
  <c r="Z26" i="17" s="1"/>
  <c r="V26" i="17"/>
  <c r="U26" i="17" s="1"/>
  <c r="AU24" i="17"/>
  <c r="E32" i="17" l="1"/>
  <c r="O32" i="17"/>
  <c r="AT26" i="17"/>
  <c r="AE28" i="17"/>
  <c r="E33" i="17"/>
  <c r="AE27" i="17"/>
  <c r="AG32" i="17"/>
  <c r="AE36" i="17"/>
  <c r="AE35" i="17"/>
  <c r="AO32" i="17"/>
  <c r="E28" i="17"/>
  <c r="AS26" i="17"/>
  <c r="AN26" i="17" s="1"/>
  <c r="AM26" i="17" s="1"/>
  <c r="AJ26" i="17" s="1"/>
  <c r="AL31" i="17"/>
  <c r="AL30" i="17" s="1"/>
  <c r="AL24" i="17" s="1"/>
  <c r="AE34" i="17"/>
  <c r="M29" i="17"/>
  <c r="K85" i="17"/>
  <c r="G85" i="17"/>
  <c r="AG26" i="17"/>
  <c r="Q31" i="17"/>
  <c r="Q30" i="17" s="1"/>
  <c r="AM72" i="17"/>
  <c r="AN71" i="17"/>
  <c r="AN25" i="17" s="1"/>
  <c r="AI72" i="17"/>
  <c r="AE33" i="17"/>
  <c r="AF26" i="17"/>
  <c r="K94" i="17"/>
  <c r="G94" i="17"/>
  <c r="G105" i="17"/>
  <c r="F105" i="17" s="1"/>
  <c r="AP31" i="17"/>
  <c r="AQ30" i="17"/>
  <c r="U31" i="17"/>
  <c r="AH32" i="17"/>
  <c r="AR31" i="17"/>
  <c r="I101" i="16"/>
  <c r="BG101" i="16" s="1"/>
  <c r="H101" i="16"/>
  <c r="BF101" i="16" s="1"/>
  <c r="G101" i="16"/>
  <c r="BE101" i="16" s="1"/>
  <c r="F101" i="16"/>
  <c r="BD101" i="16" s="1"/>
  <c r="E101" i="16"/>
  <c r="BC101" i="16" s="1"/>
  <c r="I100" i="16"/>
  <c r="BG100" i="16" s="1"/>
  <c r="H100" i="16"/>
  <c r="BF100" i="16" s="1"/>
  <c r="G100" i="16"/>
  <c r="BE100" i="16" s="1"/>
  <c r="F100" i="16"/>
  <c r="BD100" i="16" s="1"/>
  <c r="E100" i="16"/>
  <c r="BC100" i="16" s="1"/>
  <c r="I99" i="16"/>
  <c r="BG99" i="16" s="1"/>
  <c r="H99" i="16"/>
  <c r="BF99" i="16" s="1"/>
  <c r="G99" i="16"/>
  <c r="BE99" i="16" s="1"/>
  <c r="F99" i="16"/>
  <c r="BD99" i="16" s="1"/>
  <c r="E99" i="16"/>
  <c r="BC99" i="16" s="1"/>
  <c r="I98" i="16"/>
  <c r="BG98" i="16" s="1"/>
  <c r="H98" i="16"/>
  <c r="BF98" i="16" s="1"/>
  <c r="G98" i="16"/>
  <c r="BE98" i="16" s="1"/>
  <c r="F98" i="16"/>
  <c r="BD98" i="16" s="1"/>
  <c r="E98" i="16"/>
  <c r="BC98" i="16" s="1"/>
  <c r="I97" i="16"/>
  <c r="BG97" i="16" s="1"/>
  <c r="H97" i="16"/>
  <c r="BF97" i="16" s="1"/>
  <c r="G97" i="16"/>
  <c r="BE97" i="16" s="1"/>
  <c r="F97" i="16"/>
  <c r="BD97" i="16" s="1"/>
  <c r="E97" i="16"/>
  <c r="BC97" i="16" s="1"/>
  <c r="I96" i="16"/>
  <c r="BG96" i="16" s="1"/>
  <c r="H96" i="16"/>
  <c r="BF96" i="16" s="1"/>
  <c r="G96" i="16"/>
  <c r="BE96" i="16" s="1"/>
  <c r="F96" i="16"/>
  <c r="BD96" i="16" s="1"/>
  <c r="E96" i="16"/>
  <c r="BC96" i="16" s="1"/>
  <c r="I95" i="16"/>
  <c r="BG95" i="16" s="1"/>
  <c r="H95" i="16"/>
  <c r="BF95" i="16" s="1"/>
  <c r="G95" i="16"/>
  <c r="BE95" i="16" s="1"/>
  <c r="F95" i="16"/>
  <c r="BD95" i="16" s="1"/>
  <c r="E95" i="16"/>
  <c r="BC95" i="16" s="1"/>
  <c r="I94" i="16"/>
  <c r="BG94" i="16" s="1"/>
  <c r="H94" i="16"/>
  <c r="BF94" i="16" s="1"/>
  <c r="G94" i="16"/>
  <c r="BE94" i="16" s="1"/>
  <c r="F94" i="16"/>
  <c r="BD94" i="16" s="1"/>
  <c r="E94" i="16"/>
  <c r="BC94" i="16" s="1"/>
  <c r="I93" i="16"/>
  <c r="BG93" i="16" s="1"/>
  <c r="H93" i="16"/>
  <c r="BF93" i="16" s="1"/>
  <c r="G93" i="16"/>
  <c r="BE93" i="16" s="1"/>
  <c r="F93" i="16"/>
  <c r="BD93" i="16" s="1"/>
  <c r="E93" i="16"/>
  <c r="BC93" i="16" s="1"/>
  <c r="I90" i="16"/>
  <c r="BG90" i="16" s="1"/>
  <c r="H90" i="16"/>
  <c r="BF90" i="16" s="1"/>
  <c r="G90" i="16"/>
  <c r="BE90" i="16" s="1"/>
  <c r="F90" i="16"/>
  <c r="BD90" i="16" s="1"/>
  <c r="E90" i="16"/>
  <c r="BC90" i="16" s="1"/>
  <c r="I89" i="16"/>
  <c r="BG89" i="16" s="1"/>
  <c r="H89" i="16"/>
  <c r="BF89" i="16" s="1"/>
  <c r="G89" i="16"/>
  <c r="BE89" i="16" s="1"/>
  <c r="F89" i="16"/>
  <c r="BD89" i="16" s="1"/>
  <c r="E89" i="16"/>
  <c r="BC89" i="16" s="1"/>
  <c r="I88" i="16"/>
  <c r="BG88" i="16" s="1"/>
  <c r="H88" i="16"/>
  <c r="BF88" i="16" s="1"/>
  <c r="G88" i="16"/>
  <c r="BE88" i="16" s="1"/>
  <c r="F88" i="16"/>
  <c r="BD88" i="16" s="1"/>
  <c r="E88" i="16"/>
  <c r="BC88" i="16" s="1"/>
  <c r="I87" i="16"/>
  <c r="BG87" i="16" s="1"/>
  <c r="H87" i="16"/>
  <c r="BF87" i="16" s="1"/>
  <c r="G87" i="16"/>
  <c r="BE87" i="16" s="1"/>
  <c r="F87" i="16"/>
  <c r="BD87" i="16" s="1"/>
  <c r="E87" i="16"/>
  <c r="BC87" i="16" s="1"/>
  <c r="I86" i="16"/>
  <c r="BG86" i="16" s="1"/>
  <c r="H86" i="16"/>
  <c r="BF86" i="16" s="1"/>
  <c r="G86" i="16"/>
  <c r="BE86" i="16" s="1"/>
  <c r="F86" i="16"/>
  <c r="BD86" i="16" s="1"/>
  <c r="E86" i="16"/>
  <c r="BC86" i="16" s="1"/>
  <c r="I85" i="16"/>
  <c r="BG85" i="16" s="1"/>
  <c r="H85" i="16"/>
  <c r="BF85" i="16" s="1"/>
  <c r="G85" i="16"/>
  <c r="BE85" i="16" s="1"/>
  <c r="F85" i="16"/>
  <c r="BD85" i="16" s="1"/>
  <c r="E85" i="16"/>
  <c r="BC85" i="16" s="1"/>
  <c r="I84" i="16"/>
  <c r="BG84" i="16" s="1"/>
  <c r="H84" i="16"/>
  <c r="BF84" i="16" s="1"/>
  <c r="G84" i="16"/>
  <c r="BE84" i="16" s="1"/>
  <c r="F84" i="16"/>
  <c r="BD84" i="16" s="1"/>
  <c r="E84" i="16"/>
  <c r="BC84" i="16" s="1"/>
  <c r="I83" i="16"/>
  <c r="BG83" i="16" s="1"/>
  <c r="H83" i="16"/>
  <c r="BF83" i="16" s="1"/>
  <c r="G83" i="16"/>
  <c r="BE83" i="16" s="1"/>
  <c r="F83" i="16"/>
  <c r="BD83" i="16" s="1"/>
  <c r="E83" i="16"/>
  <c r="BC83" i="16" s="1"/>
  <c r="I82" i="16"/>
  <c r="BG82" i="16" s="1"/>
  <c r="H82" i="16"/>
  <c r="BF82" i="16" s="1"/>
  <c r="G82" i="16"/>
  <c r="BE82" i="16" s="1"/>
  <c r="F82" i="16"/>
  <c r="BD82" i="16" s="1"/>
  <c r="E82" i="16"/>
  <c r="BC82" i="16" s="1"/>
  <c r="I81" i="16"/>
  <c r="BG81" i="16" s="1"/>
  <c r="H81" i="16"/>
  <c r="BF81" i="16" s="1"/>
  <c r="G81" i="16"/>
  <c r="BE81" i="16" s="1"/>
  <c r="F81" i="16"/>
  <c r="BD81" i="16" s="1"/>
  <c r="E81" i="16"/>
  <c r="BC81" i="16" s="1"/>
  <c r="I80" i="16"/>
  <c r="BG80" i="16" s="1"/>
  <c r="H80" i="16"/>
  <c r="BF80" i="16" s="1"/>
  <c r="G80" i="16"/>
  <c r="BE80" i="16" s="1"/>
  <c r="F80" i="16"/>
  <c r="BD80" i="16" s="1"/>
  <c r="E80" i="16"/>
  <c r="BC80" i="16" s="1"/>
  <c r="I79" i="16"/>
  <c r="BG79" i="16" s="1"/>
  <c r="H79" i="16"/>
  <c r="BF79" i="16" s="1"/>
  <c r="G79" i="16"/>
  <c r="BE79" i="16" s="1"/>
  <c r="F79" i="16"/>
  <c r="BD79" i="16" s="1"/>
  <c r="E79" i="16"/>
  <c r="BC79" i="16" s="1"/>
  <c r="I78" i="16"/>
  <c r="BG78" i="16" s="1"/>
  <c r="H78" i="16"/>
  <c r="BF78" i="16" s="1"/>
  <c r="G78" i="16"/>
  <c r="BE78" i="16" s="1"/>
  <c r="F78" i="16"/>
  <c r="BD78" i="16" s="1"/>
  <c r="E78" i="16"/>
  <c r="BC78" i="16" s="1"/>
  <c r="I77" i="16"/>
  <c r="BG77" i="16" s="1"/>
  <c r="H77" i="16"/>
  <c r="BF77" i="16" s="1"/>
  <c r="G77" i="16"/>
  <c r="BE77" i="16" s="1"/>
  <c r="F77" i="16"/>
  <c r="BD77" i="16" s="1"/>
  <c r="E77" i="16"/>
  <c r="BC77" i="16" s="1"/>
  <c r="I76" i="16"/>
  <c r="BG76" i="16" s="1"/>
  <c r="H76" i="16"/>
  <c r="BF76" i="16" s="1"/>
  <c r="G76" i="16"/>
  <c r="BE76" i="16" s="1"/>
  <c r="F76" i="16"/>
  <c r="BD76" i="16" s="1"/>
  <c r="E76" i="16"/>
  <c r="BC76" i="16" s="1"/>
  <c r="I75" i="16"/>
  <c r="BG75" i="16" s="1"/>
  <c r="H75" i="16"/>
  <c r="BF75" i="16" s="1"/>
  <c r="G75" i="16"/>
  <c r="BE75" i="16" s="1"/>
  <c r="F75" i="16"/>
  <c r="BD75" i="16" s="1"/>
  <c r="E75" i="16"/>
  <c r="BC75" i="16" s="1"/>
  <c r="I74" i="16"/>
  <c r="BG74" i="16" s="1"/>
  <c r="H74" i="16"/>
  <c r="BF74" i="16" s="1"/>
  <c r="G74" i="16"/>
  <c r="BE74" i="16" s="1"/>
  <c r="F74" i="16"/>
  <c r="BD74" i="16" s="1"/>
  <c r="E74" i="16"/>
  <c r="BC74" i="16" s="1"/>
  <c r="I72" i="16"/>
  <c r="BG72" i="16" s="1"/>
  <c r="H72" i="16"/>
  <c r="BF72" i="16" s="1"/>
  <c r="G72" i="16"/>
  <c r="BE72" i="16" s="1"/>
  <c r="F72" i="16"/>
  <c r="BD72" i="16" s="1"/>
  <c r="E72" i="16"/>
  <c r="BC72" i="16" s="1"/>
  <c r="I71" i="16"/>
  <c r="BG71" i="16" s="1"/>
  <c r="H71" i="16"/>
  <c r="BF71" i="16" s="1"/>
  <c r="G71" i="16"/>
  <c r="BE71" i="16" s="1"/>
  <c r="F71" i="16"/>
  <c r="BD71" i="16" s="1"/>
  <c r="E71" i="16"/>
  <c r="BC71" i="16" s="1"/>
  <c r="I70" i="16"/>
  <c r="BG70" i="16" s="1"/>
  <c r="H70" i="16"/>
  <c r="BF70" i="16" s="1"/>
  <c r="G70" i="16"/>
  <c r="BE70" i="16" s="1"/>
  <c r="F70" i="16"/>
  <c r="BD70" i="16" s="1"/>
  <c r="E70" i="16"/>
  <c r="BC70" i="16" s="1"/>
  <c r="BB69" i="16"/>
  <c r="BA69" i="16"/>
  <c r="AZ69" i="16"/>
  <c r="AY69" i="16"/>
  <c r="AY68" i="16" s="1"/>
  <c r="AX69" i="16"/>
  <c r="AW69" i="16"/>
  <c r="AV69" i="16"/>
  <c r="AU69" i="16"/>
  <c r="AT69" i="16"/>
  <c r="AS69" i="16"/>
  <c r="AR69" i="16"/>
  <c r="AQ69" i="16"/>
  <c r="AP69" i="16"/>
  <c r="AO69" i="16"/>
  <c r="AN69" i="16"/>
  <c r="AM69" i="16"/>
  <c r="AL69" i="16"/>
  <c r="AK69" i="16"/>
  <c r="AJ69" i="16"/>
  <c r="AI69" i="16"/>
  <c r="AI68" i="16" s="1"/>
  <c r="AH69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S68" i="16" s="1"/>
  <c r="R69" i="16"/>
  <c r="Q69" i="16"/>
  <c r="P69" i="16"/>
  <c r="O69" i="16"/>
  <c r="N69" i="16"/>
  <c r="M69" i="16"/>
  <c r="L69" i="16"/>
  <c r="K69" i="16"/>
  <c r="J69" i="16"/>
  <c r="I67" i="16"/>
  <c r="BG67" i="16" s="1"/>
  <c r="H67" i="16"/>
  <c r="BF67" i="16" s="1"/>
  <c r="G67" i="16"/>
  <c r="BE67" i="16" s="1"/>
  <c r="F67" i="16"/>
  <c r="BD67" i="16" s="1"/>
  <c r="E67" i="16"/>
  <c r="BC67" i="16" s="1"/>
  <c r="I64" i="16"/>
  <c r="BG64" i="16" s="1"/>
  <c r="H64" i="16"/>
  <c r="BF64" i="16" s="1"/>
  <c r="G64" i="16"/>
  <c r="BE64" i="16" s="1"/>
  <c r="F64" i="16"/>
  <c r="BD64" i="16" s="1"/>
  <c r="E64" i="16"/>
  <c r="BC64" i="16" s="1"/>
  <c r="I63" i="16"/>
  <c r="BG63" i="16" s="1"/>
  <c r="H63" i="16"/>
  <c r="BF63" i="16" s="1"/>
  <c r="G63" i="16"/>
  <c r="BE63" i="16" s="1"/>
  <c r="F63" i="16"/>
  <c r="BD63" i="16" s="1"/>
  <c r="E63" i="16"/>
  <c r="BC63" i="16" s="1"/>
  <c r="I61" i="16"/>
  <c r="BG61" i="16" s="1"/>
  <c r="H61" i="16"/>
  <c r="BF61" i="16" s="1"/>
  <c r="G61" i="16"/>
  <c r="BE61" i="16" s="1"/>
  <c r="F61" i="16"/>
  <c r="BD61" i="16" s="1"/>
  <c r="E61" i="16"/>
  <c r="BC61" i="16" s="1"/>
  <c r="I60" i="16"/>
  <c r="BG60" i="16" s="1"/>
  <c r="H60" i="16"/>
  <c r="BF60" i="16" s="1"/>
  <c r="G60" i="16"/>
  <c r="BE60" i="16" s="1"/>
  <c r="F60" i="16"/>
  <c r="BD60" i="16" s="1"/>
  <c r="E60" i="16"/>
  <c r="BC60" i="16" s="1"/>
  <c r="I59" i="16"/>
  <c r="BG59" i="16" s="1"/>
  <c r="H59" i="16"/>
  <c r="BF59" i="16" s="1"/>
  <c r="G59" i="16"/>
  <c r="BE59" i="16" s="1"/>
  <c r="F59" i="16"/>
  <c r="BD59" i="16" s="1"/>
  <c r="E59" i="16"/>
  <c r="BC59" i="16" s="1"/>
  <c r="I58" i="16"/>
  <c r="BG58" i="16" s="1"/>
  <c r="H58" i="16"/>
  <c r="BF58" i="16" s="1"/>
  <c r="G58" i="16"/>
  <c r="BE58" i="16" s="1"/>
  <c r="F58" i="16"/>
  <c r="BD58" i="16" s="1"/>
  <c r="E58" i="16"/>
  <c r="BC58" i="16" s="1"/>
  <c r="I57" i="16"/>
  <c r="BG57" i="16" s="1"/>
  <c r="H57" i="16"/>
  <c r="BF57" i="16" s="1"/>
  <c r="G57" i="16"/>
  <c r="BE57" i="16" s="1"/>
  <c r="F57" i="16"/>
  <c r="BD57" i="16" s="1"/>
  <c r="E57" i="16"/>
  <c r="BC57" i="16" s="1"/>
  <c r="I56" i="16"/>
  <c r="BG56" i="16" s="1"/>
  <c r="H56" i="16"/>
  <c r="BF56" i="16" s="1"/>
  <c r="G56" i="16"/>
  <c r="BE56" i="16" s="1"/>
  <c r="F56" i="16"/>
  <c r="BD56" i="16" s="1"/>
  <c r="E56" i="16"/>
  <c r="BC56" i="16" s="1"/>
  <c r="I55" i="16"/>
  <c r="BG55" i="16" s="1"/>
  <c r="H55" i="16"/>
  <c r="BF55" i="16" s="1"/>
  <c r="G55" i="16"/>
  <c r="BE55" i="16" s="1"/>
  <c r="F55" i="16"/>
  <c r="BD55" i="16" s="1"/>
  <c r="E55" i="16"/>
  <c r="BC55" i="16" s="1"/>
  <c r="I54" i="16"/>
  <c r="BG54" i="16" s="1"/>
  <c r="H54" i="16"/>
  <c r="BF54" i="16" s="1"/>
  <c r="G54" i="16"/>
  <c r="BE54" i="16" s="1"/>
  <c r="F54" i="16"/>
  <c r="BD54" i="16" s="1"/>
  <c r="E54" i="16"/>
  <c r="BC54" i="16" s="1"/>
  <c r="I53" i="16"/>
  <c r="BG53" i="16" s="1"/>
  <c r="H53" i="16"/>
  <c r="BF53" i="16" s="1"/>
  <c r="G53" i="16"/>
  <c r="BE53" i="16" s="1"/>
  <c r="F53" i="16"/>
  <c r="BD53" i="16" s="1"/>
  <c r="E53" i="16"/>
  <c r="BC53" i="16" s="1"/>
  <c r="I52" i="16"/>
  <c r="BG52" i="16" s="1"/>
  <c r="H52" i="16"/>
  <c r="BF52" i="16" s="1"/>
  <c r="G52" i="16"/>
  <c r="BE52" i="16" s="1"/>
  <c r="F52" i="16"/>
  <c r="BD52" i="16" s="1"/>
  <c r="E52" i="16"/>
  <c r="BC52" i="16" s="1"/>
  <c r="I51" i="16"/>
  <c r="BG51" i="16" s="1"/>
  <c r="H51" i="16"/>
  <c r="BF51" i="16" s="1"/>
  <c r="G51" i="16"/>
  <c r="BE51" i="16" s="1"/>
  <c r="F51" i="16"/>
  <c r="BD51" i="16" s="1"/>
  <c r="E51" i="16"/>
  <c r="BC51" i="16" s="1"/>
  <c r="I50" i="16"/>
  <c r="BG50" i="16" s="1"/>
  <c r="H50" i="16"/>
  <c r="BF50" i="16" s="1"/>
  <c r="G50" i="16"/>
  <c r="BE50" i="16" s="1"/>
  <c r="F50" i="16"/>
  <c r="BD50" i="16" s="1"/>
  <c r="E50" i="16"/>
  <c r="BC50" i="16" s="1"/>
  <c r="I49" i="16"/>
  <c r="BG49" i="16" s="1"/>
  <c r="H49" i="16"/>
  <c r="BF49" i="16" s="1"/>
  <c r="G49" i="16"/>
  <c r="BE49" i="16" s="1"/>
  <c r="F49" i="16"/>
  <c r="BD49" i="16" s="1"/>
  <c r="E49" i="16"/>
  <c r="BC49" i="16" s="1"/>
  <c r="I48" i="16"/>
  <c r="BG48" i="16" s="1"/>
  <c r="H48" i="16"/>
  <c r="BF48" i="16" s="1"/>
  <c r="G48" i="16"/>
  <c r="BE48" i="16" s="1"/>
  <c r="F48" i="16"/>
  <c r="BD48" i="16" s="1"/>
  <c r="E48" i="16"/>
  <c r="BC48" i="16" s="1"/>
  <c r="I47" i="16"/>
  <c r="BG47" i="16" s="1"/>
  <c r="H47" i="16"/>
  <c r="BF47" i="16" s="1"/>
  <c r="G47" i="16"/>
  <c r="BE47" i="16" s="1"/>
  <c r="F47" i="16"/>
  <c r="BD47" i="16" s="1"/>
  <c r="E47" i="16"/>
  <c r="BC47" i="16" s="1"/>
  <c r="I46" i="16"/>
  <c r="BG46" i="16" s="1"/>
  <c r="H46" i="16"/>
  <c r="BF46" i="16" s="1"/>
  <c r="G46" i="16"/>
  <c r="BE46" i="16" s="1"/>
  <c r="F46" i="16"/>
  <c r="BD46" i="16" s="1"/>
  <c r="E46" i="16"/>
  <c r="BC46" i="16" s="1"/>
  <c r="I40" i="16"/>
  <c r="BG40" i="16" s="1"/>
  <c r="H40" i="16"/>
  <c r="BF40" i="16" s="1"/>
  <c r="G40" i="16"/>
  <c r="BE40" i="16" s="1"/>
  <c r="F40" i="16"/>
  <c r="BD40" i="16" s="1"/>
  <c r="E40" i="16"/>
  <c r="BC40" i="16" s="1"/>
  <c r="I33" i="16"/>
  <c r="BG33" i="16" s="1"/>
  <c r="H33" i="16"/>
  <c r="BF33" i="16" s="1"/>
  <c r="G33" i="16"/>
  <c r="BE33" i="16" s="1"/>
  <c r="F33" i="16"/>
  <c r="BD33" i="16" s="1"/>
  <c r="E33" i="16"/>
  <c r="BC33" i="16" s="1"/>
  <c r="I32" i="16"/>
  <c r="BG32" i="16" s="1"/>
  <c r="H32" i="16"/>
  <c r="BF32" i="16" s="1"/>
  <c r="G32" i="16"/>
  <c r="BE32" i="16" s="1"/>
  <c r="F32" i="16"/>
  <c r="BD32" i="16" s="1"/>
  <c r="E32" i="16"/>
  <c r="BC32" i="16" s="1"/>
  <c r="I31" i="16"/>
  <c r="BG31" i="16" s="1"/>
  <c r="H31" i="16"/>
  <c r="BF31" i="16" s="1"/>
  <c r="G31" i="16"/>
  <c r="BE31" i="16" s="1"/>
  <c r="F31" i="16"/>
  <c r="BD31" i="16" s="1"/>
  <c r="E31" i="16"/>
  <c r="BC31" i="16" s="1"/>
  <c r="I30" i="16"/>
  <c r="BG30" i="16" s="1"/>
  <c r="H30" i="16"/>
  <c r="BF30" i="16" s="1"/>
  <c r="G30" i="16"/>
  <c r="BE30" i="16" s="1"/>
  <c r="F30" i="16"/>
  <c r="BD30" i="16" s="1"/>
  <c r="E30" i="16"/>
  <c r="BC30" i="16" s="1"/>
  <c r="I29" i="16"/>
  <c r="BG29" i="16" s="1"/>
  <c r="H29" i="16"/>
  <c r="BF29" i="16" s="1"/>
  <c r="G29" i="16"/>
  <c r="BE29" i="16" s="1"/>
  <c r="F29" i="16"/>
  <c r="BD29" i="16" s="1"/>
  <c r="E29" i="16"/>
  <c r="BC29" i="16" s="1"/>
  <c r="I28" i="16"/>
  <c r="BG28" i="16" s="1"/>
  <c r="H28" i="16"/>
  <c r="BF28" i="16" s="1"/>
  <c r="G28" i="16"/>
  <c r="BE28" i="16" s="1"/>
  <c r="F28" i="16"/>
  <c r="BD28" i="16" s="1"/>
  <c r="E28" i="16"/>
  <c r="BC28" i="16" s="1"/>
  <c r="I27" i="16"/>
  <c r="BG27" i="16" s="1"/>
  <c r="H27" i="16"/>
  <c r="BF27" i="16" s="1"/>
  <c r="G27" i="16"/>
  <c r="BE27" i="16" s="1"/>
  <c r="F27" i="16"/>
  <c r="BD27" i="16" s="1"/>
  <c r="E27" i="16"/>
  <c r="BC27" i="16" s="1"/>
  <c r="I25" i="16"/>
  <c r="BG25" i="16" s="1"/>
  <c r="H25" i="16"/>
  <c r="BF25" i="16" s="1"/>
  <c r="G25" i="16"/>
  <c r="BE25" i="16" s="1"/>
  <c r="F25" i="16"/>
  <c r="BD25" i="16" s="1"/>
  <c r="E25" i="16"/>
  <c r="BC25" i="16" s="1"/>
  <c r="AT114" i="15"/>
  <c r="AS114" i="15"/>
  <c r="AR114" i="15"/>
  <c r="AQ114" i="15"/>
  <c r="AP114" i="15"/>
  <c r="AO114" i="15"/>
  <c r="AN114" i="15"/>
  <c r="AT113" i="15"/>
  <c r="AS113" i="15"/>
  <c r="AR113" i="15"/>
  <c r="AQ113" i="15"/>
  <c r="AP113" i="15"/>
  <c r="AO113" i="15"/>
  <c r="AN113" i="15"/>
  <c r="AT112" i="15"/>
  <c r="AS112" i="15"/>
  <c r="AR112" i="15"/>
  <c r="AQ112" i="15"/>
  <c r="AP112" i="15"/>
  <c r="AO112" i="15"/>
  <c r="AN112" i="15"/>
  <c r="AT111" i="15"/>
  <c r="AS111" i="15"/>
  <c r="AR111" i="15"/>
  <c r="AQ111" i="15"/>
  <c r="AP111" i="15"/>
  <c r="AO111" i="15"/>
  <c r="AN111" i="15"/>
  <c r="BV110" i="15"/>
  <c r="BV108" i="15" s="1"/>
  <c r="BV107" i="15" s="1"/>
  <c r="BU110" i="15"/>
  <c r="BU108" i="15" s="1"/>
  <c r="BU107" i="15" s="1"/>
  <c r="BT110" i="15"/>
  <c r="BT108" i="15" s="1"/>
  <c r="BT107" i="15" s="1"/>
  <c r="BS110" i="15"/>
  <c r="BS108" i="15" s="1"/>
  <c r="BS107" i="15" s="1"/>
  <c r="BR110" i="15"/>
  <c r="BR108" i="15" s="1"/>
  <c r="BR107" i="15" s="1"/>
  <c r="BQ110" i="15"/>
  <c r="BQ108" i="15" s="1"/>
  <c r="BQ107" i="15" s="1"/>
  <c r="BP110" i="15"/>
  <c r="BO110" i="15"/>
  <c r="BO108" i="15" s="1"/>
  <c r="BO107" i="15" s="1"/>
  <c r="BN110" i="15"/>
  <c r="BN108" i="15" s="1"/>
  <c r="BN107" i="15" s="1"/>
  <c r="BM110" i="15"/>
  <c r="BM108" i="15" s="1"/>
  <c r="BM107" i="15" s="1"/>
  <c r="BL110" i="15"/>
  <c r="BL108" i="15" s="1"/>
  <c r="BL107" i="15" s="1"/>
  <c r="BK110" i="15"/>
  <c r="BK108" i="15" s="1"/>
  <c r="BK107" i="15" s="1"/>
  <c r="BJ110" i="15"/>
  <c r="BJ108" i="15" s="1"/>
  <c r="BJ107" i="15" s="1"/>
  <c r="BI110" i="15"/>
  <c r="BI108" i="15" s="1"/>
  <c r="BI107" i="15" s="1"/>
  <c r="BH110" i="15"/>
  <c r="BH108" i="15" s="1"/>
  <c r="BH107" i="15" s="1"/>
  <c r="BG110" i="15"/>
  <c r="BG108" i="15" s="1"/>
  <c r="BG107" i="15" s="1"/>
  <c r="BF110" i="15"/>
  <c r="BF108" i="15" s="1"/>
  <c r="BF107" i="15" s="1"/>
  <c r="BE110" i="15"/>
  <c r="BE108" i="15" s="1"/>
  <c r="BE107" i="15" s="1"/>
  <c r="BD110" i="15"/>
  <c r="BD108" i="15" s="1"/>
  <c r="BD107" i="15" s="1"/>
  <c r="BC110" i="15"/>
  <c r="BC108" i="15" s="1"/>
  <c r="BC107" i="15" s="1"/>
  <c r="BB110" i="15"/>
  <c r="BB108" i="15" s="1"/>
  <c r="BB107" i="15" s="1"/>
  <c r="BA110" i="15"/>
  <c r="BA108" i="15" s="1"/>
  <c r="BA107" i="15" s="1"/>
  <c r="AZ110" i="15"/>
  <c r="AZ108" i="15" s="1"/>
  <c r="AZ107" i="15" s="1"/>
  <c r="AY110" i="15"/>
  <c r="AX110" i="15"/>
  <c r="AX108" i="15" s="1"/>
  <c r="AX107" i="15" s="1"/>
  <c r="AW110" i="15"/>
  <c r="AW108" i="15" s="1"/>
  <c r="AW107" i="15" s="1"/>
  <c r="AV110" i="15"/>
  <c r="AV108" i="15" s="1"/>
  <c r="AV107" i="15" s="1"/>
  <c r="AU110" i="15"/>
  <c r="AM110" i="15"/>
  <c r="AM108" i="15" s="1"/>
  <c r="AM107" i="15" s="1"/>
  <c r="AL110" i="15"/>
  <c r="AL108" i="15" s="1"/>
  <c r="AL107" i="15" s="1"/>
  <c r="AK110" i="15"/>
  <c r="AJ110" i="15"/>
  <c r="AI110" i="15"/>
  <c r="AH110" i="15"/>
  <c r="AG110" i="15"/>
  <c r="AF110" i="15"/>
  <c r="AE110" i="15"/>
  <c r="AD110" i="15"/>
  <c r="AC110" i="15"/>
  <c r="AB110" i="15"/>
  <c r="AA110" i="15"/>
  <c r="Z110" i="15"/>
  <c r="Y110" i="15"/>
  <c r="X110" i="15"/>
  <c r="W110" i="15"/>
  <c r="V110" i="15"/>
  <c r="U110" i="15"/>
  <c r="T110" i="15"/>
  <c r="S110" i="15"/>
  <c r="R110" i="15"/>
  <c r="Q110" i="15"/>
  <c r="P110" i="15"/>
  <c r="O110" i="15"/>
  <c r="N110" i="15"/>
  <c r="M110" i="15"/>
  <c r="L110" i="15"/>
  <c r="AT109" i="15"/>
  <c r="AS109" i="15"/>
  <c r="AR109" i="15"/>
  <c r="AQ109" i="15"/>
  <c r="AP109" i="15"/>
  <c r="AO109" i="15"/>
  <c r="AN109" i="15"/>
  <c r="AT106" i="15"/>
  <c r="AS106" i="15"/>
  <c r="AR106" i="15"/>
  <c r="AQ106" i="15"/>
  <c r="AP106" i="15"/>
  <c r="AO106" i="15"/>
  <c r="AN106" i="15"/>
  <c r="AT103" i="15"/>
  <c r="AS103" i="15"/>
  <c r="AR103" i="15"/>
  <c r="AQ103" i="15"/>
  <c r="AP103" i="15"/>
  <c r="AO103" i="15"/>
  <c r="AN103" i="15"/>
  <c r="AT102" i="15"/>
  <c r="AS102" i="15"/>
  <c r="AR102" i="15"/>
  <c r="AQ102" i="15"/>
  <c r="AP102" i="15"/>
  <c r="AO102" i="15"/>
  <c r="AN102" i="15"/>
  <c r="AT101" i="15"/>
  <c r="AS101" i="15"/>
  <c r="AR101" i="15"/>
  <c r="AQ101" i="15"/>
  <c r="AP101" i="15"/>
  <c r="AO101" i="15"/>
  <c r="AN101" i="15"/>
  <c r="BV100" i="15"/>
  <c r="BV26" i="15" s="1"/>
  <c r="BU100" i="15"/>
  <c r="BU26" i="15" s="1"/>
  <c r="BT100" i="15"/>
  <c r="BS100" i="15"/>
  <c r="BR100" i="15"/>
  <c r="BR26" i="15" s="1"/>
  <c r="BQ100" i="15"/>
  <c r="BQ26" i="15" s="1"/>
  <c r="BP100" i="15"/>
  <c r="BO100" i="15"/>
  <c r="BN100" i="15"/>
  <c r="BM100" i="15"/>
  <c r="BM26" i="15" s="1"/>
  <c r="BL100" i="15"/>
  <c r="BK100" i="15"/>
  <c r="BJ100" i="15"/>
  <c r="BI100" i="15"/>
  <c r="BI26" i="15" s="1"/>
  <c r="BH100" i="15"/>
  <c r="BG100" i="15"/>
  <c r="BF100" i="15"/>
  <c r="BE100" i="15"/>
  <c r="BE26" i="15" s="1"/>
  <c r="BD100" i="15"/>
  <c r="BC100" i="15"/>
  <c r="BB100" i="15"/>
  <c r="BA100" i="15"/>
  <c r="AZ100" i="15"/>
  <c r="AZ26" i="15" s="1"/>
  <c r="AY100" i="15"/>
  <c r="AY26" i="15" s="1"/>
  <c r="AX100" i="15"/>
  <c r="AW100" i="15"/>
  <c r="AW26" i="15" s="1"/>
  <c r="AV100" i="15"/>
  <c r="AV26" i="15" s="1"/>
  <c r="AU100" i="15"/>
  <c r="AU26" i="15" s="1"/>
  <c r="AM100" i="15"/>
  <c r="AL100" i="15"/>
  <c r="AK100" i="15"/>
  <c r="AJ100" i="15"/>
  <c r="AJ26" i="15" s="1"/>
  <c r="AI100" i="15"/>
  <c r="AH100" i="15"/>
  <c r="AG100" i="15"/>
  <c r="AF100" i="15"/>
  <c r="AF26" i="15" s="1"/>
  <c r="AE100" i="15"/>
  <c r="AD100" i="15"/>
  <c r="AC100" i="15"/>
  <c r="AB100" i="15"/>
  <c r="AB26" i="15" s="1"/>
  <c r="AA100" i="15"/>
  <c r="Z100" i="15"/>
  <c r="Y100" i="15"/>
  <c r="X100" i="15"/>
  <c r="X26" i="15" s="1"/>
  <c r="W100" i="15"/>
  <c r="V100" i="15"/>
  <c r="U100" i="15"/>
  <c r="T100" i="15"/>
  <c r="T26" i="15" s="1"/>
  <c r="S100" i="15"/>
  <c r="R100" i="15"/>
  <c r="Q100" i="15"/>
  <c r="P100" i="15"/>
  <c r="P26" i="15" s="1"/>
  <c r="O100" i="15"/>
  <c r="N100" i="15"/>
  <c r="M100" i="15"/>
  <c r="L100" i="15"/>
  <c r="AT99" i="15"/>
  <c r="AS99" i="15"/>
  <c r="AR99" i="15"/>
  <c r="AQ99" i="15"/>
  <c r="AP99" i="15"/>
  <c r="AO99" i="15"/>
  <c r="AN99" i="15"/>
  <c r="BT97" i="15"/>
  <c r="BS97" i="15"/>
  <c r="BR97" i="15"/>
  <c r="BQ97" i="15"/>
  <c r="BP97" i="15"/>
  <c r="BO97" i="15"/>
  <c r="BN97" i="15"/>
  <c r="BM97" i="15"/>
  <c r="BL97" i="15"/>
  <c r="BK97" i="15"/>
  <c r="BJ97" i="15"/>
  <c r="BI97" i="15"/>
  <c r="BH97" i="15"/>
  <c r="BG97" i="15"/>
  <c r="BE97" i="15"/>
  <c r="BD97" i="15"/>
  <c r="BC97" i="15"/>
  <c r="BB97" i="15"/>
  <c r="BA97" i="15"/>
  <c r="AZ97" i="15"/>
  <c r="AX97" i="15"/>
  <c r="AW97" i="15"/>
  <c r="AV97" i="15"/>
  <c r="AM97" i="15"/>
  <c r="AL97" i="15"/>
  <c r="AK97" i="15"/>
  <c r="AI97" i="15"/>
  <c r="AG97" i="15"/>
  <c r="AC97" i="15"/>
  <c r="Y97" i="15"/>
  <c r="U97" i="15"/>
  <c r="Q97" i="15"/>
  <c r="M97" i="15"/>
  <c r="L97" i="15"/>
  <c r="BV97" i="15"/>
  <c r="BU97" i="15"/>
  <c r="BF97" i="15"/>
  <c r="AT96" i="15"/>
  <c r="AS96" i="15"/>
  <c r="AR96" i="15"/>
  <c r="AQ96" i="15"/>
  <c r="AP96" i="15"/>
  <c r="AO96" i="15"/>
  <c r="AN96" i="15"/>
  <c r="AT95" i="15"/>
  <c r="AS95" i="15"/>
  <c r="AR95" i="15"/>
  <c r="AQ95" i="15"/>
  <c r="AP95" i="15"/>
  <c r="AO95" i="15"/>
  <c r="AN95" i="15"/>
  <c r="AT94" i="15"/>
  <c r="AS94" i="15"/>
  <c r="AR94" i="15"/>
  <c r="AQ94" i="15"/>
  <c r="AP94" i="15"/>
  <c r="AO94" i="15"/>
  <c r="AN94" i="15"/>
  <c r="AT93" i="15"/>
  <c r="AS93" i="15"/>
  <c r="AR93" i="15"/>
  <c r="AQ93" i="15"/>
  <c r="AP93" i="15"/>
  <c r="AO93" i="15"/>
  <c r="AN93" i="15"/>
  <c r="AT92" i="15"/>
  <c r="AS92" i="15"/>
  <c r="AR92" i="15"/>
  <c r="AQ92" i="15"/>
  <c r="AP92" i="15"/>
  <c r="AO92" i="15"/>
  <c r="AN92" i="15"/>
  <c r="AT91" i="15"/>
  <c r="AS91" i="15"/>
  <c r="AR91" i="15"/>
  <c r="AQ91" i="15"/>
  <c r="AP91" i="15"/>
  <c r="AO91" i="15"/>
  <c r="AN91" i="15"/>
  <c r="AT90" i="15"/>
  <c r="AS90" i="15"/>
  <c r="AR90" i="15"/>
  <c r="AQ90" i="15"/>
  <c r="AP90" i="15"/>
  <c r="AO90" i="15"/>
  <c r="AN90" i="15"/>
  <c r="BV88" i="15"/>
  <c r="BU88" i="15"/>
  <c r="BT88" i="15"/>
  <c r="BS88" i="15"/>
  <c r="BR88" i="15"/>
  <c r="BQ88" i="15"/>
  <c r="BP88" i="15"/>
  <c r="BO88" i="15"/>
  <c r="BN88" i="15"/>
  <c r="BM88" i="15"/>
  <c r="BL88" i="15"/>
  <c r="BK88" i="15"/>
  <c r="BJ88" i="15"/>
  <c r="BI88" i="15"/>
  <c r="BH88" i="15"/>
  <c r="BF88" i="15"/>
  <c r="BE88" i="15"/>
  <c r="BD88" i="15"/>
  <c r="BC88" i="15"/>
  <c r="BB88" i="15"/>
  <c r="AZ88" i="15"/>
  <c r="AY88" i="15"/>
  <c r="AV88" i="15"/>
  <c r="AU88" i="15"/>
  <c r="AM88" i="15"/>
  <c r="AL88" i="15"/>
  <c r="AI88" i="15"/>
  <c r="AE88" i="15"/>
  <c r="AC88" i="15"/>
  <c r="AA88" i="15"/>
  <c r="W88" i="15"/>
  <c r="U88" i="15"/>
  <c r="S88" i="15"/>
  <c r="O88" i="15"/>
  <c r="M88" i="15"/>
  <c r="BG88" i="15"/>
  <c r="AT87" i="15"/>
  <c r="AS87" i="15"/>
  <c r="AR87" i="15"/>
  <c r="AQ87" i="15"/>
  <c r="AP87" i="15"/>
  <c r="AO87" i="15"/>
  <c r="AN87" i="15"/>
  <c r="AT85" i="15"/>
  <c r="AS85" i="15"/>
  <c r="AR85" i="15"/>
  <c r="AQ85" i="15"/>
  <c r="AP85" i="15"/>
  <c r="AO85" i="15"/>
  <c r="AN85" i="15"/>
  <c r="AT84" i="15"/>
  <c r="AS84" i="15"/>
  <c r="AR84" i="15"/>
  <c r="AQ84" i="15"/>
  <c r="AP84" i="15"/>
  <c r="BY84" i="15" s="1"/>
  <c r="AO84" i="15"/>
  <c r="AN84" i="15"/>
  <c r="AT83" i="15"/>
  <c r="AS83" i="15"/>
  <c r="AR83" i="15"/>
  <c r="AQ83" i="15"/>
  <c r="AP83" i="15"/>
  <c r="AO83" i="15"/>
  <c r="AN83" i="15"/>
  <c r="BV80" i="15"/>
  <c r="BT80" i="15"/>
  <c r="BS80" i="15"/>
  <c r="BR80" i="15"/>
  <c r="BQ80" i="15"/>
  <c r="BP80" i="15"/>
  <c r="BO80" i="15"/>
  <c r="BN80" i="15"/>
  <c r="BM80" i="15"/>
  <c r="BL80" i="15"/>
  <c r="BK80" i="15"/>
  <c r="BJ80" i="15"/>
  <c r="BI80" i="15"/>
  <c r="BH80" i="15"/>
  <c r="BF80" i="15"/>
  <c r="BE80" i="15"/>
  <c r="BD80" i="15"/>
  <c r="BC80" i="15"/>
  <c r="BA80" i="15"/>
  <c r="AZ80" i="15"/>
  <c r="AY80" i="15"/>
  <c r="AW80" i="15"/>
  <c r="AV80" i="15"/>
  <c r="AU80" i="15"/>
  <c r="AM80" i="15"/>
  <c r="AL80" i="15"/>
  <c r="AK80" i="15"/>
  <c r="AG80" i="15"/>
  <c r="AC80" i="15"/>
  <c r="AA80" i="15"/>
  <c r="Y80" i="15"/>
  <c r="U80" i="15"/>
  <c r="S80" i="15"/>
  <c r="Q80" i="15"/>
  <c r="M80" i="15"/>
  <c r="L80" i="15"/>
  <c r="BU80" i="15"/>
  <c r="BG80" i="15"/>
  <c r="AI80" i="15"/>
  <c r="AT79" i="15"/>
  <c r="AS79" i="15"/>
  <c r="AR79" i="15"/>
  <c r="AQ79" i="15"/>
  <c r="AP79" i="15"/>
  <c r="AO79" i="15"/>
  <c r="AN79" i="15"/>
  <c r="AT76" i="15"/>
  <c r="AS76" i="15"/>
  <c r="AR76" i="15"/>
  <c r="AQ76" i="15"/>
  <c r="AP76" i="15"/>
  <c r="AO76" i="15"/>
  <c r="AN76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AT73" i="15"/>
  <c r="AS73" i="15"/>
  <c r="AR73" i="15"/>
  <c r="AQ73" i="15"/>
  <c r="AP73" i="15"/>
  <c r="AO73" i="15"/>
  <c r="AN73" i="15"/>
  <c r="AT72" i="15"/>
  <c r="AS72" i="15"/>
  <c r="AR72" i="15"/>
  <c r="AQ72" i="15"/>
  <c r="AP72" i="15"/>
  <c r="AO72" i="15"/>
  <c r="AN72" i="15"/>
  <c r="BV71" i="15"/>
  <c r="BU71" i="15"/>
  <c r="BT71" i="15"/>
  <c r="BS71" i="15"/>
  <c r="BR71" i="15"/>
  <c r="BQ71" i="15"/>
  <c r="BP71" i="15"/>
  <c r="BO71" i="15"/>
  <c r="BN71" i="15"/>
  <c r="BM71" i="15"/>
  <c r="BL71" i="15"/>
  <c r="BK71" i="15"/>
  <c r="BJ71" i="15"/>
  <c r="BI71" i="15"/>
  <c r="BH71" i="15"/>
  <c r="BG71" i="15"/>
  <c r="BF71" i="15"/>
  <c r="BE71" i="15"/>
  <c r="BD71" i="15"/>
  <c r="BC71" i="15"/>
  <c r="BB71" i="15"/>
  <c r="BA71" i="15"/>
  <c r="AZ71" i="15"/>
  <c r="AY71" i="15"/>
  <c r="AX71" i="15"/>
  <c r="AW71" i="15"/>
  <c r="AV71" i="15"/>
  <c r="AU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AT70" i="15"/>
  <c r="AS70" i="15"/>
  <c r="AR70" i="15"/>
  <c r="AQ70" i="15"/>
  <c r="AP70" i="15"/>
  <c r="AO70" i="15"/>
  <c r="AN70" i="15"/>
  <c r="AT69" i="15"/>
  <c r="AS69" i="15"/>
  <c r="AR69" i="15"/>
  <c r="AQ69" i="15"/>
  <c r="AP69" i="15"/>
  <c r="AO69" i="15"/>
  <c r="AN69" i="15"/>
  <c r="AT68" i="15"/>
  <c r="AS68" i="15"/>
  <c r="AR68" i="15"/>
  <c r="AQ68" i="15"/>
  <c r="AP68" i="15"/>
  <c r="AO68" i="15"/>
  <c r="AN68" i="15"/>
  <c r="AT67" i="15"/>
  <c r="AS67" i="15"/>
  <c r="AR67" i="15"/>
  <c r="AQ67" i="15"/>
  <c r="AP67" i="15"/>
  <c r="AO67" i="15"/>
  <c r="AN67" i="15"/>
  <c r="AT66" i="15"/>
  <c r="AS66" i="15"/>
  <c r="AR66" i="15"/>
  <c r="AQ66" i="15"/>
  <c r="AP66" i="15"/>
  <c r="AO66" i="15"/>
  <c r="AN66" i="15"/>
  <c r="AT65" i="15"/>
  <c r="AS65" i="15"/>
  <c r="AR65" i="15"/>
  <c r="AQ65" i="15"/>
  <c r="AP65" i="15"/>
  <c r="AO65" i="15"/>
  <c r="AN65" i="15"/>
  <c r="AT64" i="15"/>
  <c r="AS64" i="15"/>
  <c r="AR64" i="15"/>
  <c r="AQ64" i="15"/>
  <c r="AP64" i="15"/>
  <c r="AO64" i="15"/>
  <c r="AN64" i="15"/>
  <c r="AT63" i="15"/>
  <c r="AS63" i="15"/>
  <c r="AR63" i="15"/>
  <c r="AQ63" i="15"/>
  <c r="AP63" i="15"/>
  <c r="AO63" i="15"/>
  <c r="AN63" i="15"/>
  <c r="BV62" i="15"/>
  <c r="BU62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G56" i="15" s="1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AT61" i="15"/>
  <c r="AS61" i="15"/>
  <c r="AR61" i="15"/>
  <c r="AQ61" i="15"/>
  <c r="AP61" i="15"/>
  <c r="AO61" i="15"/>
  <c r="AN61" i="15"/>
  <c r="AT60" i="15"/>
  <c r="AS60" i="15"/>
  <c r="AR60" i="15"/>
  <c r="AQ60" i="15"/>
  <c r="AP60" i="15"/>
  <c r="AO60" i="15"/>
  <c r="AN60" i="15"/>
  <c r="BV59" i="15"/>
  <c r="BU59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G53" i="15" s="1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AT58" i="15"/>
  <c r="AS58" i="15"/>
  <c r="AR58" i="15"/>
  <c r="AQ58" i="15"/>
  <c r="AP58" i="15"/>
  <c r="AO58" i="15"/>
  <c r="AN58" i="15"/>
  <c r="AT51" i="15"/>
  <c r="AR51" i="15"/>
  <c r="AQ51" i="15"/>
  <c r="AP51" i="15"/>
  <c r="BY51" i="15" s="1"/>
  <c r="AO51" i="15"/>
  <c r="AN51" i="15"/>
  <c r="BV31" i="15"/>
  <c r="BV30" i="15" s="1"/>
  <c r="BU31" i="15"/>
  <c r="BU30" i="15" s="1"/>
  <c r="BT31" i="15"/>
  <c r="BS31" i="15"/>
  <c r="BS30" i="15" s="1"/>
  <c r="BR31" i="15"/>
  <c r="BR30" i="15" s="1"/>
  <c r="BQ31" i="15"/>
  <c r="BQ30" i="15" s="1"/>
  <c r="BP31" i="15"/>
  <c r="BO31" i="15"/>
  <c r="BN31" i="15"/>
  <c r="BN30" i="15" s="1"/>
  <c r="BM31" i="15"/>
  <c r="BM30" i="15" s="1"/>
  <c r="BL31" i="15"/>
  <c r="BK31" i="15"/>
  <c r="BK30" i="15" s="1"/>
  <c r="BJ31" i="15"/>
  <c r="BJ30" i="15" s="1"/>
  <c r="BI31" i="15"/>
  <c r="BI30" i="15" s="1"/>
  <c r="BH31" i="15"/>
  <c r="BG31" i="15"/>
  <c r="BG30" i="15" s="1"/>
  <c r="BF31" i="15"/>
  <c r="BF30" i="15" s="1"/>
  <c r="BB31" i="15"/>
  <c r="BB30" i="15" s="1"/>
  <c r="BA31" i="15"/>
  <c r="AX31" i="15"/>
  <c r="AX30" i="15" s="1"/>
  <c r="AV31" i="15"/>
  <c r="AU31" i="15"/>
  <c r="AM31" i="15"/>
  <c r="AL31" i="15"/>
  <c r="AK31" i="15"/>
  <c r="AJ31" i="15"/>
  <c r="AJ30" i="15" s="1"/>
  <c r="AI31" i="15"/>
  <c r="AH31" i="15"/>
  <c r="AG31" i="15"/>
  <c r="AF31" i="15"/>
  <c r="AF30" i="15" s="1"/>
  <c r="AE31" i="15"/>
  <c r="AD31" i="15"/>
  <c r="AD30" i="15" s="1"/>
  <c r="AC31" i="15"/>
  <c r="AB31" i="15"/>
  <c r="AB30" i="15" s="1"/>
  <c r="AA31" i="15"/>
  <c r="Z31" i="15"/>
  <c r="Y31" i="15"/>
  <c r="X31" i="15"/>
  <c r="X30" i="15" s="1"/>
  <c r="W31" i="15"/>
  <c r="V31" i="15"/>
  <c r="V30" i="15" s="1"/>
  <c r="U31" i="15"/>
  <c r="T31" i="15"/>
  <c r="T30" i="15" s="1"/>
  <c r="S31" i="15"/>
  <c r="R31" i="15"/>
  <c r="Q31" i="15"/>
  <c r="P31" i="15"/>
  <c r="P30" i="15" s="1"/>
  <c r="O31" i="15"/>
  <c r="N31" i="15"/>
  <c r="N30" i="15" s="1"/>
  <c r="M31" i="15"/>
  <c r="L31" i="15"/>
  <c r="BV28" i="15"/>
  <c r="BU28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BV27" i="15"/>
  <c r="BU27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I110" i="14"/>
  <c r="H110" i="14"/>
  <c r="F110" i="14"/>
  <c r="E110" i="14"/>
  <c r="N109" i="14"/>
  <c r="M109" i="14"/>
  <c r="L109" i="14"/>
  <c r="K109" i="14"/>
  <c r="J109" i="14"/>
  <c r="N108" i="14"/>
  <c r="M108" i="14"/>
  <c r="L108" i="14"/>
  <c r="K108" i="14"/>
  <c r="J108" i="14"/>
  <c r="N107" i="14"/>
  <c r="M107" i="14"/>
  <c r="L107" i="14"/>
  <c r="K107" i="14"/>
  <c r="J107" i="14"/>
  <c r="N106" i="14"/>
  <c r="M106" i="14"/>
  <c r="K106" i="14"/>
  <c r="J106" i="14"/>
  <c r="AH105" i="14"/>
  <c r="AG105" i="14"/>
  <c r="AF105" i="14"/>
  <c r="AE105" i="14"/>
  <c r="AD105" i="14"/>
  <c r="AC105" i="14"/>
  <c r="AB105" i="14"/>
  <c r="Z105" i="14"/>
  <c r="Y105" i="14"/>
  <c r="X105" i="14"/>
  <c r="W105" i="14"/>
  <c r="V105" i="14"/>
  <c r="U105" i="14"/>
  <c r="T105" i="14"/>
  <c r="S105" i="14"/>
  <c r="S103" i="14" s="1"/>
  <c r="S102" i="14" s="1"/>
  <c r="R105" i="14"/>
  <c r="R103" i="14" s="1"/>
  <c r="R102" i="14" s="1"/>
  <c r="Q105" i="14"/>
  <c r="P105" i="14"/>
  <c r="O105" i="14"/>
  <c r="N104" i="14"/>
  <c r="M104" i="14"/>
  <c r="K104" i="14"/>
  <c r="J104" i="14"/>
  <c r="N101" i="14"/>
  <c r="M101" i="14"/>
  <c r="L101" i="14"/>
  <c r="K101" i="14"/>
  <c r="J101" i="14"/>
  <c r="N98" i="14"/>
  <c r="M98" i="14"/>
  <c r="L98" i="14"/>
  <c r="K98" i="14"/>
  <c r="J98" i="14"/>
  <c r="N97" i="14"/>
  <c r="M97" i="14"/>
  <c r="L97" i="14"/>
  <c r="K97" i="14"/>
  <c r="J97" i="14"/>
  <c r="N96" i="14"/>
  <c r="M96" i="14"/>
  <c r="K96" i="14"/>
  <c r="J96" i="14"/>
  <c r="AH95" i="14"/>
  <c r="AH21" i="14" s="1"/>
  <c r="AG95" i="14"/>
  <c r="AF95" i="14"/>
  <c r="AE95" i="14"/>
  <c r="AD95" i="14"/>
  <c r="AD21" i="14" s="1"/>
  <c r="AC95" i="14"/>
  <c r="AB95" i="14"/>
  <c r="Z95" i="14"/>
  <c r="Z21" i="14" s="1"/>
  <c r="Y95" i="14"/>
  <c r="X95" i="14"/>
  <c r="W95" i="14"/>
  <c r="V95" i="14"/>
  <c r="V21" i="14" s="1"/>
  <c r="U95" i="14"/>
  <c r="T95" i="14"/>
  <c r="T21" i="14" s="1"/>
  <c r="S95" i="14"/>
  <c r="R95" i="14"/>
  <c r="Q95" i="14"/>
  <c r="P95" i="14"/>
  <c r="P21" i="14" s="1"/>
  <c r="O95" i="14"/>
  <c r="N94" i="14"/>
  <c r="M94" i="14"/>
  <c r="L94" i="14"/>
  <c r="K94" i="14"/>
  <c r="J94" i="14"/>
  <c r="AG92" i="14"/>
  <c r="AF92" i="14" s="1"/>
  <c r="AC92" i="14"/>
  <c r="AB92" i="14" s="1"/>
  <c r="Y92" i="14"/>
  <c r="X92" i="14" s="1"/>
  <c r="W92" i="14"/>
  <c r="U92" i="14"/>
  <c r="T92" i="14" s="1"/>
  <c r="S92" i="14"/>
  <c r="Q92" i="14"/>
  <c r="P92" i="14" s="1"/>
  <c r="N91" i="14"/>
  <c r="M91" i="14"/>
  <c r="L91" i="14"/>
  <c r="K91" i="14"/>
  <c r="J91" i="14"/>
  <c r="N90" i="14"/>
  <c r="M90" i="14"/>
  <c r="L90" i="14"/>
  <c r="K90" i="14"/>
  <c r="J90" i="14"/>
  <c r="N89" i="14"/>
  <c r="M89" i="14"/>
  <c r="L89" i="14"/>
  <c r="K89" i="14"/>
  <c r="J89" i="14"/>
  <c r="N88" i="14"/>
  <c r="M88" i="14"/>
  <c r="L88" i="14"/>
  <c r="K88" i="14"/>
  <c r="J88" i="14"/>
  <c r="N87" i="14"/>
  <c r="M87" i="14"/>
  <c r="L87" i="14"/>
  <c r="K87" i="14"/>
  <c r="J87" i="14"/>
  <c r="N86" i="14"/>
  <c r="M86" i="14"/>
  <c r="L86" i="14"/>
  <c r="K86" i="14"/>
  <c r="J86" i="14"/>
  <c r="N85" i="14"/>
  <c r="M85" i="14"/>
  <c r="L85" i="14"/>
  <c r="K85" i="14"/>
  <c r="J85" i="14"/>
  <c r="AE83" i="14"/>
  <c r="AC83" i="14"/>
  <c r="Y83" i="14"/>
  <c r="W83" i="14"/>
  <c r="U83" i="14"/>
  <c r="S83" i="14"/>
  <c r="R83" i="14" s="1"/>
  <c r="Q83" i="14"/>
  <c r="O83" i="14"/>
  <c r="N82" i="14"/>
  <c r="M82" i="14"/>
  <c r="L82" i="14"/>
  <c r="K82" i="14"/>
  <c r="J82" i="14"/>
  <c r="N80" i="14"/>
  <c r="M80" i="14"/>
  <c r="L80" i="14"/>
  <c r="K80" i="14"/>
  <c r="J80" i="14"/>
  <c r="N79" i="14"/>
  <c r="M79" i="14"/>
  <c r="L79" i="14"/>
  <c r="K79" i="14"/>
  <c r="J79" i="14"/>
  <c r="N78" i="14"/>
  <c r="M78" i="14"/>
  <c r="L78" i="14"/>
  <c r="K78" i="14"/>
  <c r="J78" i="14"/>
  <c r="AC75" i="14"/>
  <c r="Y75" i="14"/>
  <c r="U75" i="14"/>
  <c r="P75" i="14"/>
  <c r="AG75" i="14"/>
  <c r="N74" i="14"/>
  <c r="M74" i="14"/>
  <c r="L74" i="14"/>
  <c r="K74" i="14"/>
  <c r="J74" i="14"/>
  <c r="N71" i="14"/>
  <c r="M71" i="14"/>
  <c r="K71" i="14"/>
  <c r="J71" i="14"/>
  <c r="AH70" i="14"/>
  <c r="AG70" i="14"/>
  <c r="AF70" i="14"/>
  <c r="AE70" i="14"/>
  <c r="AD70" i="14"/>
  <c r="AC70" i="14"/>
  <c r="AB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68" i="14"/>
  <c r="M68" i="14"/>
  <c r="L68" i="14"/>
  <c r="K68" i="14"/>
  <c r="J68" i="14"/>
  <c r="N67" i="14"/>
  <c r="M67" i="14"/>
  <c r="K67" i="14"/>
  <c r="J67" i="14"/>
  <c r="AH66" i="14"/>
  <c r="AG66" i="14"/>
  <c r="AF66" i="14"/>
  <c r="AE66" i="14"/>
  <c r="AD66" i="14"/>
  <c r="AC66" i="14"/>
  <c r="AB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5" i="14"/>
  <c r="M65" i="14"/>
  <c r="L65" i="14"/>
  <c r="K65" i="14"/>
  <c r="J65" i="14"/>
  <c r="N64" i="14"/>
  <c r="M64" i="14"/>
  <c r="L64" i="14"/>
  <c r="K64" i="14"/>
  <c r="J64" i="14"/>
  <c r="N63" i="14"/>
  <c r="M63" i="14"/>
  <c r="L63" i="14"/>
  <c r="K63" i="14"/>
  <c r="J63" i="14"/>
  <c r="N62" i="14"/>
  <c r="M62" i="14"/>
  <c r="L62" i="14"/>
  <c r="K62" i="14"/>
  <c r="J62" i="14"/>
  <c r="N61" i="14"/>
  <c r="M61" i="14"/>
  <c r="L61" i="14"/>
  <c r="K61" i="14"/>
  <c r="J61" i="14"/>
  <c r="N60" i="14"/>
  <c r="M60" i="14"/>
  <c r="L60" i="14"/>
  <c r="K60" i="14"/>
  <c r="J60" i="14"/>
  <c r="N59" i="14"/>
  <c r="M59" i="14"/>
  <c r="L59" i="14"/>
  <c r="K59" i="14"/>
  <c r="J59" i="14"/>
  <c r="N58" i="14"/>
  <c r="M58" i="14"/>
  <c r="K58" i="14"/>
  <c r="J58" i="14"/>
  <c r="AH57" i="14"/>
  <c r="AG57" i="14"/>
  <c r="AF57" i="14"/>
  <c r="AE57" i="14"/>
  <c r="AD57" i="14"/>
  <c r="AC57" i="14"/>
  <c r="AB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6" i="14"/>
  <c r="M56" i="14"/>
  <c r="L56" i="14"/>
  <c r="K56" i="14"/>
  <c r="J56" i="14"/>
  <c r="N55" i="14"/>
  <c r="M55" i="14"/>
  <c r="K55" i="14"/>
  <c r="J55" i="14"/>
  <c r="AH54" i="14"/>
  <c r="AG54" i="14"/>
  <c r="AF54" i="14"/>
  <c r="AE54" i="14"/>
  <c r="AD54" i="14"/>
  <c r="AC54" i="14"/>
  <c r="AB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3" i="14"/>
  <c r="M53" i="14"/>
  <c r="L53" i="14"/>
  <c r="K53" i="14"/>
  <c r="J53" i="14"/>
  <c r="N46" i="14"/>
  <c r="M46" i="14"/>
  <c r="K46" i="14"/>
  <c r="J46" i="14"/>
  <c r="AH26" i="14"/>
  <c r="AH25" i="14" s="1"/>
  <c r="AF26" i="14"/>
  <c r="AF25" i="14" s="1"/>
  <c r="AE26" i="14"/>
  <c r="AD26" i="14"/>
  <c r="AD25" i="14" s="1"/>
  <c r="AC26" i="14"/>
  <c r="AB26" i="14"/>
  <c r="AA26" i="14"/>
  <c r="Z26" i="14"/>
  <c r="Z25" i="14" s="1"/>
  <c r="Y26" i="14"/>
  <c r="X26" i="14"/>
  <c r="X25" i="14" s="1"/>
  <c r="W26" i="14"/>
  <c r="U26" i="14"/>
  <c r="S26" i="14"/>
  <c r="R26" i="14"/>
  <c r="P26" i="14"/>
  <c r="O26" i="14"/>
  <c r="AG26" i="14"/>
  <c r="T26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AO26" i="17" l="1"/>
  <c r="AI26" i="15"/>
  <c r="AH103" i="14"/>
  <c r="AH102" i="14" s="1"/>
  <c r="AO81" i="15"/>
  <c r="AS81" i="15"/>
  <c r="BB24" i="15"/>
  <c r="AN81" i="15"/>
  <c r="AR81" i="15"/>
  <c r="AP81" i="15"/>
  <c r="AT81" i="15"/>
  <c r="AQ81" i="15"/>
  <c r="T31" i="17"/>
  <c r="U30" i="17"/>
  <c r="U24" i="17" s="1"/>
  <c r="AV74" i="15"/>
  <c r="BA29" i="15"/>
  <c r="BE29" i="15"/>
  <c r="BI29" i="15"/>
  <c r="BM29" i="15"/>
  <c r="BQ29" i="15"/>
  <c r="BU29" i="15"/>
  <c r="AX29" i="15"/>
  <c r="BB29" i="15"/>
  <c r="BF29" i="15"/>
  <c r="BJ29" i="15"/>
  <c r="BN29" i="15"/>
  <c r="BR29" i="15"/>
  <c r="BV29" i="15"/>
  <c r="AT100" i="15"/>
  <c r="CC100" i="15" s="1"/>
  <c r="BH26" i="15"/>
  <c r="R24" i="14"/>
  <c r="Z103" i="14"/>
  <c r="Z102" i="14" s="1"/>
  <c r="AR88" i="15"/>
  <c r="BP26" i="15"/>
  <c r="O30" i="15"/>
  <c r="O24" i="15" s="1"/>
  <c r="W30" i="15"/>
  <c r="W24" i="15" s="1"/>
  <c r="AA30" i="15"/>
  <c r="AA24" i="15" s="1"/>
  <c r="BO26" i="15"/>
  <c r="AP71" i="15"/>
  <c r="AO71" i="15" s="1"/>
  <c r="AT71" i="15"/>
  <c r="N88" i="15"/>
  <c r="R88" i="15"/>
  <c r="V88" i="15"/>
  <c r="Z88" i="15"/>
  <c r="AD88" i="15"/>
  <c r="AH88" i="15"/>
  <c r="BL29" i="15"/>
  <c r="K66" i="14"/>
  <c r="AG103" i="14"/>
  <c r="AG102" i="14" s="1"/>
  <c r="AH26" i="15"/>
  <c r="AG26" i="15" s="1"/>
  <c r="BT74" i="15"/>
  <c r="BA26" i="15"/>
  <c r="AG31" i="17"/>
  <c r="G69" i="16"/>
  <c r="BE69" i="16" s="1"/>
  <c r="N24" i="15"/>
  <c r="BL26" i="15"/>
  <c r="AS71" i="15"/>
  <c r="AN71" i="15"/>
  <c r="AR71" i="15"/>
  <c r="CC63" i="15"/>
  <c r="CC67" i="15"/>
  <c r="BN74" i="15"/>
  <c r="BN25" i="15" s="1"/>
  <c r="BG26" i="15"/>
  <c r="BT26" i="15"/>
  <c r="AK108" i="15"/>
  <c r="AK107" i="15" s="1"/>
  <c r="BH29" i="15"/>
  <c r="BT29" i="15"/>
  <c r="BS29" i="15" s="1"/>
  <c r="O92" i="14"/>
  <c r="AE92" i="14"/>
  <c r="Y25" i="14"/>
  <c r="V83" i="14"/>
  <c r="AD83" i="14"/>
  <c r="AI30" i="15"/>
  <c r="AI24" i="15" s="1"/>
  <c r="AJ24" i="15"/>
  <c r="AD19" i="14"/>
  <c r="O75" i="14"/>
  <c r="U21" i="14"/>
  <c r="AC21" i="14"/>
  <c r="AT59" i="15"/>
  <c r="AS59" i="15" s="1"/>
  <c r="CC66" i="15"/>
  <c r="CB66" i="15" s="1"/>
  <c r="AP75" i="15"/>
  <c r="AO75" i="15" s="1"/>
  <c r="AR75" i="15"/>
  <c r="BU74" i="15"/>
  <c r="BU25" i="15" s="1"/>
  <c r="AZ74" i="15"/>
  <c r="AZ25" i="15" s="1"/>
  <c r="AR80" i="15"/>
  <c r="CC84" i="15"/>
  <c r="CB84" i="15" s="1"/>
  <c r="CA84" i="15" s="1"/>
  <c r="CC111" i="15"/>
  <c r="M27" i="14"/>
  <c r="J23" i="14"/>
  <c r="AN28" i="15"/>
  <c r="AT28" i="15"/>
  <c r="AS28" i="15" s="1"/>
  <c r="AB24" i="15"/>
  <c r="P97" i="15"/>
  <c r="O97" i="15" s="1"/>
  <c r="N97" i="15" s="1"/>
  <c r="T97" i="15"/>
  <c r="S97" i="15" s="1"/>
  <c r="R97" i="15" s="1"/>
  <c r="X97" i="15"/>
  <c r="W97" i="15" s="1"/>
  <c r="AB97" i="15"/>
  <c r="AF97" i="15"/>
  <c r="AJ97" i="15"/>
  <c r="L66" i="14"/>
  <c r="Y21" i="14"/>
  <c r="AG21" i="14"/>
  <c r="AF21" i="14" s="1"/>
  <c r="AE21" i="14" s="1"/>
  <c r="BD26" i="15"/>
  <c r="BI24" i="15"/>
  <c r="CC61" i="15"/>
  <c r="CC70" i="15"/>
  <c r="CB70" i="15" s="1"/>
  <c r="BE74" i="15"/>
  <c r="BE25" i="15" s="1"/>
  <c r="BI74" i="15"/>
  <c r="BI25" i="15" s="1"/>
  <c r="BQ74" i="15"/>
  <c r="BQ25" i="15" s="1"/>
  <c r="BJ74" i="15"/>
  <c r="BJ25" i="15" s="1"/>
  <c r="BV74" i="15"/>
  <c r="BV25" i="15" s="1"/>
  <c r="CC83" i="15"/>
  <c r="AH26" i="17"/>
  <c r="N26" i="14"/>
  <c r="W25" i="14"/>
  <c r="W19" i="14" s="1"/>
  <c r="AE25" i="14"/>
  <c r="AE19" i="14" s="1"/>
  <c r="N57" i="14"/>
  <c r="X75" i="14"/>
  <c r="W75" i="14" s="1"/>
  <c r="V75" i="14" s="1"/>
  <c r="AI74" i="15"/>
  <c r="P80" i="15"/>
  <c r="O80" i="15" s="1"/>
  <c r="N80" i="15" s="1"/>
  <c r="T80" i="15"/>
  <c r="X80" i="15"/>
  <c r="W80" i="15" s="1"/>
  <c r="V80" i="15" s="1"/>
  <c r="AB80" i="15"/>
  <c r="AF80" i="15"/>
  <c r="AE80" i="15" s="1"/>
  <c r="AJ80" i="15"/>
  <c r="BH74" i="15"/>
  <c r="BL74" i="15"/>
  <c r="AN98" i="15"/>
  <c r="AT97" i="15"/>
  <c r="CC97" i="15" s="1"/>
  <c r="CC99" i="15"/>
  <c r="O26" i="15"/>
  <c r="N26" i="15" s="1"/>
  <c r="M26" i="15" s="1"/>
  <c r="L26" i="15" s="1"/>
  <c r="S26" i="15"/>
  <c r="R26" i="15" s="1"/>
  <c r="Q26" i="15" s="1"/>
  <c r="W26" i="15"/>
  <c r="V26" i="15" s="1"/>
  <c r="U26" i="15" s="1"/>
  <c r="AA26" i="15"/>
  <c r="Z26" i="15" s="1"/>
  <c r="Y26" i="15" s="1"/>
  <c r="AE26" i="15"/>
  <c r="AD26" i="15" s="1"/>
  <c r="AC26" i="15" s="1"/>
  <c r="AQ100" i="15"/>
  <c r="AN100" i="15"/>
  <c r="AO100" i="15"/>
  <c r="AP100" i="15"/>
  <c r="CC101" i="15"/>
  <c r="CB101" i="15" s="1"/>
  <c r="CA101" i="15" s="1"/>
  <c r="O25" i="14"/>
  <c r="O19" i="14" s="1"/>
  <c r="J26" i="14"/>
  <c r="AL74" i="15"/>
  <c r="AL25" i="15" s="1"/>
  <c r="AX80" i="15"/>
  <c r="AR100" i="15"/>
  <c r="BF26" i="15"/>
  <c r="K76" i="14"/>
  <c r="K105" i="14"/>
  <c r="P103" i="14"/>
  <c r="P102" i="14" s="1"/>
  <c r="M105" i="14"/>
  <c r="L105" i="14"/>
  <c r="BJ26" i="15"/>
  <c r="AT32" i="15"/>
  <c r="P24" i="15"/>
  <c r="Q75" i="14"/>
  <c r="BB26" i="15"/>
  <c r="AN27" i="15"/>
  <c r="AR27" i="15"/>
  <c r="AQ27" i="15"/>
  <c r="AQ28" i="15"/>
  <c r="U74" i="15"/>
  <c r="L88" i="15"/>
  <c r="CC87" i="15" s="1"/>
  <c r="CB87" i="15" s="1"/>
  <c r="CA87" i="15" s="1"/>
  <c r="T88" i="15"/>
  <c r="AW29" i="15"/>
  <c r="AP107" i="15"/>
  <c r="BK29" i="15"/>
  <c r="AY97" i="15"/>
  <c r="AR97" i="15" s="1"/>
  <c r="AR98" i="15"/>
  <c r="AS100" i="15"/>
  <c r="BN26" i="15"/>
  <c r="K23" i="14"/>
  <c r="R92" i="14"/>
  <c r="M92" i="14" s="1"/>
  <c r="Z92" i="14"/>
  <c r="AD92" i="14"/>
  <c r="AX26" i="15"/>
  <c r="AQ59" i="15"/>
  <c r="AT62" i="15"/>
  <c r="CC62" i="15" s="1"/>
  <c r="AN62" i="15"/>
  <c r="CC65" i="15"/>
  <c r="CB65" i="15" s="1"/>
  <c r="CA65" i="15" s="1"/>
  <c r="CC91" i="15"/>
  <c r="CC95" i="15"/>
  <c r="AP97" i="15"/>
  <c r="AO97" i="15" s="1"/>
  <c r="CC114" i="15"/>
  <c r="CB114" i="15" s="1"/>
  <c r="J22" i="14"/>
  <c r="N22" i="14"/>
  <c r="K54" i="14"/>
  <c r="K57" i="14"/>
  <c r="J57" i="14" s="1"/>
  <c r="M57" i="14"/>
  <c r="L57" i="14"/>
  <c r="M66" i="14"/>
  <c r="P83" i="14"/>
  <c r="P69" i="14" s="1"/>
  <c r="X83" i="14"/>
  <c r="AB83" i="14"/>
  <c r="Z83" i="14" s="1"/>
  <c r="M84" i="14"/>
  <c r="V92" i="14"/>
  <c r="L92" i="14" s="1"/>
  <c r="J95" i="14"/>
  <c r="N95" i="14"/>
  <c r="L95" i="14"/>
  <c r="BK26" i="15"/>
  <c r="BS26" i="15"/>
  <c r="AP27" i="15"/>
  <c r="AO27" i="15" s="1"/>
  <c r="M30" i="15"/>
  <c r="L30" i="15" s="1"/>
  <c r="L24" i="15" s="1"/>
  <c r="U30" i="15"/>
  <c r="U24" i="15" s="1"/>
  <c r="AC30" i="15"/>
  <c r="AC24" i="15" s="1"/>
  <c r="BJ24" i="15"/>
  <c r="BR24" i="15"/>
  <c r="AS32" i="15"/>
  <c r="AQ32" i="15"/>
  <c r="BH30" i="15"/>
  <c r="BH24" i="15" s="1"/>
  <c r="BG24" i="15" s="1"/>
  <c r="BP30" i="15"/>
  <c r="BO30" i="15" s="1"/>
  <c r="BG74" i="15"/>
  <c r="BG25" i="15" s="1"/>
  <c r="BD74" i="15"/>
  <c r="BD25" i="15" s="1"/>
  <c r="BP74" i="15"/>
  <c r="BP25" i="15" s="1"/>
  <c r="CC85" i="15"/>
  <c r="CB85" i="15" s="1"/>
  <c r="CA85" i="15" s="1"/>
  <c r="AK88" i="15"/>
  <c r="AJ88" i="15" s="1"/>
  <c r="CC90" i="15"/>
  <c r="CB90" i="15" s="1"/>
  <c r="CA90" i="15" s="1"/>
  <c r="BZ90" i="15" s="1"/>
  <c r="BY90" i="15" s="1"/>
  <c r="BX90" i="15" s="1"/>
  <c r="BW90" i="15" s="1"/>
  <c r="CC94" i="15"/>
  <c r="CB94" i="15" s="1"/>
  <c r="CA94" i="15" s="1"/>
  <c r="AH97" i="15"/>
  <c r="CC103" i="15"/>
  <c r="AT107" i="15"/>
  <c r="CC113" i="15"/>
  <c r="CB113" i="15" s="1"/>
  <c r="CA113" i="15" s="1"/>
  <c r="H69" i="16"/>
  <c r="BF69" i="16" s="1"/>
  <c r="F69" i="16"/>
  <c r="BD69" i="16" s="1"/>
  <c r="AN59" i="15"/>
  <c r="CC60" i="15"/>
  <c r="CB60" i="15" s="1"/>
  <c r="CA60" i="15" s="1"/>
  <c r="AP62" i="15"/>
  <c r="AO62" i="15" s="1"/>
  <c r="AQ62" i="15"/>
  <c r="CC69" i="15"/>
  <c r="CB69" i="15" s="1"/>
  <c r="CA69" i="15" s="1"/>
  <c r="K22" i="14"/>
  <c r="L23" i="14"/>
  <c r="AC25" i="14"/>
  <c r="AC19" i="14" s="1"/>
  <c r="J54" i="14"/>
  <c r="N54" i="14"/>
  <c r="L84" i="14"/>
  <c r="K95" i="14"/>
  <c r="AF103" i="14"/>
  <c r="AF102" i="14" s="1"/>
  <c r="BG29" i="15"/>
  <c r="AG88" i="15"/>
  <c r="AF88" i="15" s="1"/>
  <c r="Q88" i="15"/>
  <c r="P88" i="15" s="1"/>
  <c r="Y88" i="15"/>
  <c r="X88" i="15" s="1"/>
  <c r="BR74" i="15"/>
  <c r="BR25" i="15" s="1"/>
  <c r="CC102" i="15"/>
  <c r="CB102" i="15" s="1"/>
  <c r="AJ108" i="15"/>
  <c r="AJ107" i="15" s="1"/>
  <c r="BL30" i="15"/>
  <c r="BM24" i="15"/>
  <c r="T83" i="14"/>
  <c r="U69" i="14"/>
  <c r="M93" i="14"/>
  <c r="O21" i="14"/>
  <c r="X21" i="14"/>
  <c r="W21" i="14" s="1"/>
  <c r="M22" i="14"/>
  <c r="L22" i="14" s="1"/>
  <c r="AG25" i="14"/>
  <c r="AG19" i="14" s="1"/>
  <c r="AF19" i="14" s="1"/>
  <c r="M26" i="14"/>
  <c r="AB25" i="14"/>
  <c r="M54" i="14"/>
  <c r="K70" i="14"/>
  <c r="AG83" i="14"/>
  <c r="AF83" i="14" s="1"/>
  <c r="K84" i="14"/>
  <c r="K93" i="14"/>
  <c r="M95" i="14"/>
  <c r="AB21" i="14"/>
  <c r="AA21" i="14" s="1"/>
  <c r="Y103" i="14"/>
  <c r="Y102" i="14" s="1"/>
  <c r="J105" i="14"/>
  <c r="N105" i="14"/>
  <c r="AY31" i="15"/>
  <c r="AR31" i="15" s="1"/>
  <c r="AR32" i="15"/>
  <c r="BC31" i="15"/>
  <c r="AO32" i="15"/>
  <c r="AP59" i="15"/>
  <c r="AO59" i="15" s="1"/>
  <c r="BD29" i="15"/>
  <c r="BC29" i="15" s="1"/>
  <c r="N70" i="14"/>
  <c r="M70" i="14" s="1"/>
  <c r="V24" i="15"/>
  <c r="BC26" i="15"/>
  <c r="BT30" i="15"/>
  <c r="BU24" i="15"/>
  <c r="BA30" i="15"/>
  <c r="AT31" i="15"/>
  <c r="AN31" i="15"/>
  <c r="AU30" i="15"/>
  <c r="BZ60" i="15"/>
  <c r="BY60" i="15" s="1"/>
  <c r="BX60" i="15" s="1"/>
  <c r="BW60" i="15" s="1"/>
  <c r="AT75" i="15"/>
  <c r="AS75" i="15" s="1"/>
  <c r="CC79" i="15"/>
  <c r="CB79" i="15" s="1"/>
  <c r="CA79" i="15" s="1"/>
  <c r="BZ79" i="15" s="1"/>
  <c r="BY79" i="15" s="1"/>
  <c r="BX79" i="15" s="1"/>
  <c r="BW79" i="15" s="1"/>
  <c r="AP89" i="15"/>
  <c r="AO89" i="15" s="1"/>
  <c r="AW88" i="15"/>
  <c r="AP88" i="15" s="1"/>
  <c r="AO88" i="15" s="1"/>
  <c r="BA88" i="15"/>
  <c r="AT89" i="15"/>
  <c r="AS89" i="15" s="1"/>
  <c r="BZ94" i="15"/>
  <c r="BY94" i="15" s="1"/>
  <c r="BX94" i="15" s="1"/>
  <c r="BW94" i="15" s="1"/>
  <c r="S21" i="14"/>
  <c r="K26" i="14"/>
  <c r="P25" i="14"/>
  <c r="P19" i="14" s="1"/>
  <c r="AX24" i="15"/>
  <c r="AR28" i="15"/>
  <c r="AP28" i="15"/>
  <c r="AO28" i="15" s="1"/>
  <c r="S30" i="15"/>
  <c r="T24" i="15"/>
  <c r="AH30" i="15"/>
  <c r="AG30" i="15" s="1"/>
  <c r="AG24" i="15" s="1"/>
  <c r="AF24" i="15" s="1"/>
  <c r="AR59" i="15"/>
  <c r="AS62" i="15"/>
  <c r="BZ65" i="15"/>
  <c r="BY65" i="15" s="1"/>
  <c r="BX65" i="15" s="1"/>
  <c r="BW65" i="15" s="1"/>
  <c r="BZ69" i="15"/>
  <c r="BY69" i="15" s="1"/>
  <c r="BX69" i="15" s="1"/>
  <c r="BW69" i="15" s="1"/>
  <c r="BM74" i="15"/>
  <c r="BM25" i="15" s="1"/>
  <c r="AQ75" i="15"/>
  <c r="AD80" i="15"/>
  <c r="AQ80" i="15"/>
  <c r="AR89" i="15"/>
  <c r="N23" i="14"/>
  <c r="M23" i="14" s="1"/>
  <c r="K27" i="14"/>
  <c r="J27" i="14"/>
  <c r="L54" i="14"/>
  <c r="J66" i="14"/>
  <c r="N66" i="14"/>
  <c r="J70" i="14"/>
  <c r="AB75" i="14"/>
  <c r="AC69" i="14"/>
  <c r="AH75" i="14"/>
  <c r="J84" i="14"/>
  <c r="AH83" i="14" s="1"/>
  <c r="N84" i="14"/>
  <c r="J93" i="14"/>
  <c r="AH92" i="14" s="1"/>
  <c r="N92" i="14" s="1"/>
  <c r="N93" i="14"/>
  <c r="BQ24" i="15"/>
  <c r="AV30" i="15"/>
  <c r="BF24" i="15"/>
  <c r="BN24" i="15"/>
  <c r="BV24" i="15"/>
  <c r="T75" i="14"/>
  <c r="S75" i="14" s="1"/>
  <c r="AT27" i="15"/>
  <c r="AS27" i="15" s="1"/>
  <c r="AZ31" i="15"/>
  <c r="BE31" i="15"/>
  <c r="CB61" i="15"/>
  <c r="CA61" i="15" s="1"/>
  <c r="BZ61" i="15" s="1"/>
  <c r="BY61" i="15" s="1"/>
  <c r="BX61" i="15" s="1"/>
  <c r="BW61" i="15" s="1"/>
  <c r="AR62" i="15"/>
  <c r="CA66" i="15"/>
  <c r="BZ66" i="15" s="1"/>
  <c r="BY66" i="15" s="1"/>
  <c r="BX66" i="15" s="1"/>
  <c r="BW66" i="15" s="1"/>
  <c r="CA70" i="15"/>
  <c r="BZ70" i="15" s="1"/>
  <c r="BY70" i="15" s="1"/>
  <c r="BX70" i="15" s="1"/>
  <c r="BW70" i="15" s="1"/>
  <c r="CC71" i="15"/>
  <c r="BF74" i="15"/>
  <c r="S74" i="15"/>
  <c r="AM74" i="15"/>
  <c r="AM25" i="15" s="1"/>
  <c r="Z80" i="15"/>
  <c r="BZ85" i="15"/>
  <c r="BY85" i="15" s="1"/>
  <c r="BX85" i="15" s="1"/>
  <c r="BW85" i="15" s="1"/>
  <c r="BZ87" i="15"/>
  <c r="BY87" i="15" s="1"/>
  <c r="BX87" i="15" s="1"/>
  <c r="BW87" i="15" s="1"/>
  <c r="BZ101" i="15"/>
  <c r="BY101" i="15" s="1"/>
  <c r="BX101" i="15" s="1"/>
  <c r="BW101" i="15" s="1"/>
  <c r="AO107" i="15"/>
  <c r="AV29" i="15"/>
  <c r="AS107" i="15"/>
  <c r="AZ29" i="15"/>
  <c r="BP108" i="15"/>
  <c r="BP107" i="15" s="1"/>
  <c r="AN110" i="15"/>
  <c r="BZ113" i="15"/>
  <c r="BY113" i="15" s="1"/>
  <c r="BX113" i="15" s="1"/>
  <c r="BW113" i="15" s="1"/>
  <c r="AN32" i="15"/>
  <c r="CC58" i="15"/>
  <c r="CB58" i="15" s="1"/>
  <c r="CA58" i="15" s="1"/>
  <c r="BZ58" i="15" s="1"/>
  <c r="BY58" i="15" s="1"/>
  <c r="BX58" i="15" s="1"/>
  <c r="BW58" i="15" s="1"/>
  <c r="AP80" i="15"/>
  <c r="AO80" i="15" s="1"/>
  <c r="BB80" i="15"/>
  <c r="BB74" i="15" s="1"/>
  <c r="BB25" i="15" s="1"/>
  <c r="BZ83" i="15"/>
  <c r="BZ84" i="15"/>
  <c r="BX84" i="15" s="1"/>
  <c r="BW84" i="15" s="1"/>
  <c r="AQ89" i="15"/>
  <c r="AX88" i="15"/>
  <c r="AN89" i="15"/>
  <c r="CC93" i="15"/>
  <c r="CB93" i="15" s="1"/>
  <c r="CA93" i="15" s="1"/>
  <c r="BZ93" i="15" s="1"/>
  <c r="BY93" i="15" s="1"/>
  <c r="BX93" i="15" s="1"/>
  <c r="BW93" i="15" s="1"/>
  <c r="AL72" i="17"/>
  <c r="AH72" i="17"/>
  <c r="AM71" i="17"/>
  <c r="R21" i="14"/>
  <c r="N27" i="14"/>
  <c r="R75" i="14"/>
  <c r="AF75" i="14"/>
  <c r="AE75" i="14" s="1"/>
  <c r="AD75" i="14" s="1"/>
  <c r="Q103" i="14"/>
  <c r="Q102" i="14" s="1"/>
  <c r="AV25" i="15"/>
  <c r="Z30" i="15"/>
  <c r="Y30" i="15" s="1"/>
  <c r="Y24" i="15" s="1"/>
  <c r="CC51" i="15"/>
  <c r="CB51" i="15" s="1"/>
  <c r="CA51" i="15" s="1"/>
  <c r="BZ51" i="15" s="1"/>
  <c r="BX51" i="15" s="1"/>
  <c r="BW51" i="15" s="1"/>
  <c r="CB63" i="15"/>
  <c r="CA63" i="15" s="1"/>
  <c r="BZ63" i="15" s="1"/>
  <c r="BY63" i="15" s="1"/>
  <c r="BX63" i="15" s="1"/>
  <c r="BW63" i="15" s="1"/>
  <c r="CB67" i="15"/>
  <c r="CA67" i="15" s="1"/>
  <c r="BZ67" i="15" s="1"/>
  <c r="BY67" i="15" s="1"/>
  <c r="BX67" i="15" s="1"/>
  <c r="BW67" i="15" s="1"/>
  <c r="AQ71" i="15"/>
  <c r="CC72" i="15"/>
  <c r="CB72" i="15" s="1"/>
  <c r="CA72" i="15" s="1"/>
  <c r="BZ72" i="15" s="1"/>
  <c r="BY72" i="15" s="1"/>
  <c r="BX72" i="15" s="1"/>
  <c r="BW72" i="15" s="1"/>
  <c r="AN75" i="15"/>
  <c r="BC74" i="15"/>
  <c r="BC25" i="15" s="1"/>
  <c r="BK74" i="15"/>
  <c r="BO74" i="15"/>
  <c r="BO25" i="15" s="1"/>
  <c r="BS74" i="15"/>
  <c r="BS25" i="15" s="1"/>
  <c r="R80" i="15"/>
  <c r="AN88" i="15"/>
  <c r="BW88" i="15" s="1"/>
  <c r="AS97" i="15"/>
  <c r="V97" i="15"/>
  <c r="AQ107" i="15"/>
  <c r="AQ108" i="15"/>
  <c r="AP108" i="15" s="1"/>
  <c r="AO108" i="15" s="1"/>
  <c r="R68" i="16"/>
  <c r="Q68" i="16" s="1"/>
  <c r="P68" i="16" s="1"/>
  <c r="O68" i="16" s="1"/>
  <c r="N68" i="16" s="1"/>
  <c r="M68" i="16" s="1"/>
  <c r="L68" i="16" s="1"/>
  <c r="K68" i="16" s="1"/>
  <c r="J68" i="16" s="1"/>
  <c r="AE30" i="15"/>
  <c r="AE24" i="15" s="1"/>
  <c r="AD24" i="15" s="1"/>
  <c r="CC64" i="15"/>
  <c r="CB64" i="15" s="1"/>
  <c r="CA64" i="15" s="1"/>
  <c r="BZ64" i="15" s="1"/>
  <c r="BY64" i="15" s="1"/>
  <c r="BX64" i="15" s="1"/>
  <c r="BW64" i="15" s="1"/>
  <c r="CC68" i="15"/>
  <c r="CB68" i="15" s="1"/>
  <c r="CA68" i="15" s="1"/>
  <c r="BZ68" i="15" s="1"/>
  <c r="BY68" i="15" s="1"/>
  <c r="BX68" i="15" s="1"/>
  <c r="BW68" i="15" s="1"/>
  <c r="AT80" i="15"/>
  <c r="AS80" i="15" s="1"/>
  <c r="AE97" i="15"/>
  <c r="AD97" i="15" s="1"/>
  <c r="AQ98" i="15"/>
  <c r="AP98" i="15"/>
  <c r="AO98" i="15" s="1"/>
  <c r="AT98" i="15"/>
  <c r="AS98" i="15" s="1"/>
  <c r="CA102" i="15"/>
  <c r="BZ102" i="15" s="1"/>
  <c r="BY102" i="15" s="1"/>
  <c r="BX102" i="15" s="1"/>
  <c r="BW102" i="15" s="1"/>
  <c r="AT110" i="15"/>
  <c r="AS110" i="15" s="1"/>
  <c r="AU108" i="15"/>
  <c r="AU107" i="15" s="1"/>
  <c r="AY108" i="15"/>
  <c r="AY107" i="15" s="1"/>
  <c r="AR110" i="15"/>
  <c r="CA114" i="15"/>
  <c r="BZ114" i="15" s="1"/>
  <c r="BY114" i="15" s="1"/>
  <c r="BX114" i="15" s="1"/>
  <c r="BW114" i="15" s="1"/>
  <c r="Q24" i="17"/>
  <c r="G31" i="17"/>
  <c r="AQ97" i="15"/>
  <c r="AI108" i="15"/>
  <c r="AI107" i="15" s="1"/>
  <c r="CC109" i="15"/>
  <c r="CB109" i="15" s="1"/>
  <c r="CA109" i="15" s="1"/>
  <c r="BZ109" i="15" s="1"/>
  <c r="BY109" i="15" s="1"/>
  <c r="BX109" i="15" s="1"/>
  <c r="BW109" i="15" s="1"/>
  <c r="AQ110" i="15"/>
  <c r="AP110" i="15" s="1"/>
  <c r="AO110" i="15" s="1"/>
  <c r="AH68" i="16"/>
  <c r="AG68" i="16" s="1"/>
  <c r="AF68" i="16" s="1"/>
  <c r="AE68" i="16" s="1"/>
  <c r="AD68" i="16" s="1"/>
  <c r="AC68" i="16" s="1"/>
  <c r="AB68" i="16" s="1"/>
  <c r="AA68" i="16" s="1"/>
  <c r="Z68" i="16" s="1"/>
  <c r="Y68" i="16" s="1"/>
  <c r="X68" i="16" s="1"/>
  <c r="W68" i="16" s="1"/>
  <c r="V68" i="16" s="1"/>
  <c r="U68" i="16" s="1"/>
  <c r="T68" i="16" s="1"/>
  <c r="AX68" i="16"/>
  <c r="AW68" i="16" s="1"/>
  <c r="AV68" i="16" s="1"/>
  <c r="AU68" i="16" s="1"/>
  <c r="AT68" i="16" s="1"/>
  <c r="AS68" i="16" s="1"/>
  <c r="AR68" i="16" s="1"/>
  <c r="AQ68" i="16" s="1"/>
  <c r="AP68" i="16" s="1"/>
  <c r="AO68" i="16" s="1"/>
  <c r="AN68" i="16" s="1"/>
  <c r="AM68" i="16" s="1"/>
  <c r="AL68" i="16" s="1"/>
  <c r="AK68" i="16" s="1"/>
  <c r="AJ68" i="16" s="1"/>
  <c r="E69" i="16"/>
  <c r="I69" i="16"/>
  <c r="BG69" i="16" s="1"/>
  <c r="E35" i="17"/>
  <c r="F85" i="17"/>
  <c r="J85" i="17"/>
  <c r="E85" i="17" s="1"/>
  <c r="K71" i="17"/>
  <c r="G104" i="17"/>
  <c r="F104" i="17" s="1"/>
  <c r="L29" i="17"/>
  <c r="AB88" i="15"/>
  <c r="CB91" i="15"/>
  <c r="CA91" i="15" s="1"/>
  <c r="BZ91" i="15" s="1"/>
  <c r="BY91" i="15" s="1"/>
  <c r="BX91" i="15" s="1"/>
  <c r="BW91" i="15" s="1"/>
  <c r="CB95" i="15"/>
  <c r="CA95" i="15" s="1"/>
  <c r="BZ95" i="15" s="1"/>
  <c r="BY95" i="15" s="1"/>
  <c r="BX95" i="15" s="1"/>
  <c r="BW95" i="15" s="1"/>
  <c r="AA97" i="15"/>
  <c r="CB99" i="15"/>
  <c r="CA99" i="15" s="1"/>
  <c r="BZ99" i="15" s="1"/>
  <c r="BY99" i="15" s="1"/>
  <c r="BX99" i="15" s="1"/>
  <c r="BW99" i="15" s="1"/>
  <c r="CB103" i="15"/>
  <c r="CA103" i="15" s="1"/>
  <c r="BZ103" i="15" s="1"/>
  <c r="BY103" i="15" s="1"/>
  <c r="BX103" i="15" s="1"/>
  <c r="BW103" i="15" s="1"/>
  <c r="CB111" i="15"/>
  <c r="CA111" i="15" s="1"/>
  <c r="BZ111" i="15" s="1"/>
  <c r="BY111" i="15" s="1"/>
  <c r="BX111" i="15" s="1"/>
  <c r="BW111" i="15" s="1"/>
  <c r="F94" i="17"/>
  <c r="J94" i="17"/>
  <c r="E94" i="17" s="1"/>
  <c r="CC76" i="15"/>
  <c r="CB76" i="15" s="1"/>
  <c r="CA76" i="15" s="1"/>
  <c r="BZ76" i="15" s="1"/>
  <c r="BY76" i="15" s="1"/>
  <c r="BX76" i="15" s="1"/>
  <c r="BW76" i="15" s="1"/>
  <c r="AH80" i="15"/>
  <c r="CC92" i="15"/>
  <c r="CB92" i="15" s="1"/>
  <c r="CA92" i="15" s="1"/>
  <c r="BZ92" i="15" s="1"/>
  <c r="BY92" i="15" s="1"/>
  <c r="BX92" i="15" s="1"/>
  <c r="BW92" i="15" s="1"/>
  <c r="CC96" i="15"/>
  <c r="CB96" i="15" s="1"/>
  <c r="CA96" i="15" s="1"/>
  <c r="BZ96" i="15" s="1"/>
  <c r="BY96" i="15" s="1"/>
  <c r="BX96" i="15" s="1"/>
  <c r="BW96" i="15" s="1"/>
  <c r="AU97" i="15"/>
  <c r="AN97" i="15" s="1"/>
  <c r="CC112" i="15"/>
  <c r="CB112" i="15" s="1"/>
  <c r="CA112" i="15" s="1"/>
  <c r="BZ112" i="15" s="1"/>
  <c r="BY112" i="15" s="1"/>
  <c r="BX112" i="15" s="1"/>
  <c r="BW112" i="15" s="1"/>
  <c r="AI32" i="17"/>
  <c r="BD41" i="15"/>
  <c r="AW41" i="15" s="1"/>
  <c r="AP30" i="17"/>
  <c r="AP24" i="17" s="1"/>
  <c r="AQ24" i="17"/>
  <c r="BD40" i="15"/>
  <c r="AO31" i="17"/>
  <c r="AN31" i="17" s="1"/>
  <c r="AI31" i="17" s="1"/>
  <c r="AH31" i="17"/>
  <c r="AR30" i="17"/>
  <c r="AT115" i="13"/>
  <c r="AS115" i="13"/>
  <c r="AR115" i="13"/>
  <c r="Y107" i="18" s="1"/>
  <c r="AQ115" i="13"/>
  <c r="AP115" i="13"/>
  <c r="AN115" i="13"/>
  <c r="K115" i="13"/>
  <c r="J115" i="13"/>
  <c r="I115" i="13"/>
  <c r="H115" i="13"/>
  <c r="G115" i="13"/>
  <c r="F115" i="13"/>
  <c r="E115" i="13"/>
  <c r="AT114" i="13"/>
  <c r="AS114" i="13"/>
  <c r="AR114" i="13"/>
  <c r="Y106" i="18" s="1"/>
  <c r="AQ114" i="13"/>
  <c r="AP114" i="13"/>
  <c r="AN114" i="13"/>
  <c r="K114" i="13"/>
  <c r="J114" i="13"/>
  <c r="I114" i="13"/>
  <c r="H114" i="13"/>
  <c r="G114" i="13"/>
  <c r="F114" i="13"/>
  <c r="E114" i="13"/>
  <c r="AT113" i="13"/>
  <c r="AS113" i="13"/>
  <c r="AR113" i="13"/>
  <c r="Y105" i="18" s="1"/>
  <c r="AQ113" i="13"/>
  <c r="AP113" i="13"/>
  <c r="AN113" i="13"/>
  <c r="K113" i="13"/>
  <c r="J113" i="13"/>
  <c r="I113" i="13"/>
  <c r="H113" i="13"/>
  <c r="G113" i="13"/>
  <c r="F113" i="13"/>
  <c r="E113" i="13"/>
  <c r="AT112" i="13"/>
  <c r="AS112" i="13"/>
  <c r="AR112" i="13"/>
  <c r="Y104" i="18" s="1"/>
  <c r="AQ112" i="13"/>
  <c r="AP112" i="13"/>
  <c r="AN112" i="13"/>
  <c r="K112" i="13"/>
  <c r="J112" i="13"/>
  <c r="I112" i="13"/>
  <c r="H112" i="13"/>
  <c r="G112" i="13"/>
  <c r="F112" i="13"/>
  <c r="E112" i="13"/>
  <c r="BV111" i="13"/>
  <c r="BV109" i="13" s="1"/>
  <c r="BV108" i="13" s="1"/>
  <c r="BU111" i="13"/>
  <c r="BT111" i="13"/>
  <c r="BT109" i="13" s="1"/>
  <c r="BS111" i="13"/>
  <c r="BS109" i="13" s="1"/>
  <c r="BR111" i="13"/>
  <c r="BR109" i="13" s="1"/>
  <c r="BR108" i="13" s="1"/>
  <c r="BQ111" i="13"/>
  <c r="BP111" i="13"/>
  <c r="BO111" i="13"/>
  <c r="BO109" i="13" s="1"/>
  <c r="BN111" i="13"/>
  <c r="BN109" i="13" s="1"/>
  <c r="BN108" i="13" s="1"/>
  <c r="BM111" i="13"/>
  <c r="AA106" i="14" s="1"/>
  <c r="L106" i="14" s="1"/>
  <c r="BL111" i="13"/>
  <c r="BL109" i="13" s="1"/>
  <c r="BK111" i="13"/>
  <c r="BK109" i="13" s="1"/>
  <c r="BK108" i="13" s="1"/>
  <c r="BJ111" i="13"/>
  <c r="BJ109" i="13" s="1"/>
  <c r="BJ108" i="13" s="1"/>
  <c r="BI111" i="13"/>
  <c r="BH111" i="13"/>
  <c r="BH109" i="13" s="1"/>
  <c r="BG111" i="13"/>
  <c r="BG109" i="13" s="1"/>
  <c r="BG108" i="13" s="1"/>
  <c r="BF111" i="13"/>
  <c r="BF109" i="13" s="1"/>
  <c r="BF108" i="13" s="1"/>
  <c r="BE111" i="13"/>
  <c r="BD111" i="13"/>
  <c r="BD109" i="13" s="1"/>
  <c r="BB111" i="13"/>
  <c r="BB109" i="13" s="1"/>
  <c r="BB108" i="13" s="1"/>
  <c r="BA111" i="13"/>
  <c r="BA109" i="13" s="1"/>
  <c r="BA108" i="13" s="1"/>
  <c r="AZ111" i="13"/>
  <c r="AZ109" i="13" s="1"/>
  <c r="AZ108" i="13" s="1"/>
  <c r="AY111" i="13"/>
  <c r="AX111" i="13"/>
  <c r="AX109" i="13" s="1"/>
  <c r="AW111" i="13"/>
  <c r="AW109" i="13" s="1"/>
  <c r="AW108" i="13" s="1"/>
  <c r="AU111" i="13"/>
  <c r="AU109" i="13" s="1"/>
  <c r="AU108" i="13" s="1"/>
  <c r="K111" i="13"/>
  <c r="J111" i="13"/>
  <c r="I111" i="13"/>
  <c r="H111" i="13"/>
  <c r="G111" i="13"/>
  <c r="F111" i="13"/>
  <c r="E111" i="13"/>
  <c r="AT110" i="13"/>
  <c r="AS110" i="13"/>
  <c r="AR110" i="13"/>
  <c r="Y102" i="18" s="1"/>
  <c r="AQ110" i="13"/>
  <c r="AP110" i="13"/>
  <c r="AN110" i="13"/>
  <c r="K110" i="13"/>
  <c r="J110" i="13"/>
  <c r="I110" i="13"/>
  <c r="H110" i="13"/>
  <c r="G110" i="13"/>
  <c r="F110" i="13"/>
  <c r="E110" i="13"/>
  <c r="BP109" i="13"/>
  <c r="K109" i="13"/>
  <c r="J109" i="13"/>
  <c r="I109" i="13"/>
  <c r="H109" i="13"/>
  <c r="G109" i="13"/>
  <c r="F109" i="13"/>
  <c r="E109" i="13"/>
  <c r="K108" i="13"/>
  <c r="J108" i="13"/>
  <c r="I108" i="13"/>
  <c r="H108" i="13"/>
  <c r="G108" i="13"/>
  <c r="F108" i="13"/>
  <c r="E108" i="13"/>
  <c r="AT107" i="13"/>
  <c r="AS107" i="13"/>
  <c r="AR107" i="13"/>
  <c r="Y99" i="18" s="1"/>
  <c r="AQ107" i="13"/>
  <c r="AP107" i="13"/>
  <c r="AO107" i="13"/>
  <c r="AN107" i="13"/>
  <c r="K107" i="13"/>
  <c r="J107" i="13"/>
  <c r="I107" i="13"/>
  <c r="H107" i="13"/>
  <c r="G107" i="13"/>
  <c r="F107" i="13"/>
  <c r="E107" i="13"/>
  <c r="AT104" i="13"/>
  <c r="AS104" i="13"/>
  <c r="AR104" i="13"/>
  <c r="Y96" i="18" s="1"/>
  <c r="AQ104" i="13"/>
  <c r="AP104" i="13"/>
  <c r="AO104" i="13"/>
  <c r="AN104" i="13"/>
  <c r="K104" i="13"/>
  <c r="J104" i="13"/>
  <c r="I104" i="13"/>
  <c r="H104" i="13"/>
  <c r="G104" i="13"/>
  <c r="F104" i="13"/>
  <c r="E104" i="13"/>
  <c r="AT103" i="13"/>
  <c r="AS103" i="13"/>
  <c r="AR103" i="13"/>
  <c r="Y95" i="18" s="1"/>
  <c r="AQ103" i="13"/>
  <c r="AP103" i="13"/>
  <c r="AO103" i="13"/>
  <c r="AN103" i="13"/>
  <c r="K103" i="13"/>
  <c r="J103" i="13"/>
  <c r="I103" i="13"/>
  <c r="H103" i="13"/>
  <c r="G103" i="13"/>
  <c r="F103" i="13"/>
  <c r="E103" i="13"/>
  <c r="AT102" i="13"/>
  <c r="AS102" i="13"/>
  <c r="AR102" i="13"/>
  <c r="Y94" i="18" s="1"/>
  <c r="AQ102" i="13"/>
  <c r="AP102" i="13"/>
  <c r="AO102" i="13"/>
  <c r="AN102" i="13"/>
  <c r="K102" i="13"/>
  <c r="J102" i="13"/>
  <c r="I102" i="13"/>
  <c r="H102" i="13"/>
  <c r="G102" i="13"/>
  <c r="F102" i="13"/>
  <c r="E102" i="13"/>
  <c r="BV101" i="13"/>
  <c r="BU101" i="13"/>
  <c r="BT101" i="13"/>
  <c r="BT27" i="13" s="1"/>
  <c r="BS101" i="13"/>
  <c r="BS27" i="13" s="1"/>
  <c r="BR101" i="13"/>
  <c r="BQ101" i="13"/>
  <c r="BP101" i="13"/>
  <c r="BP27" i="13" s="1"/>
  <c r="BO101" i="13"/>
  <c r="BO27" i="13" s="1"/>
  <c r="BN101" i="13"/>
  <c r="BM101" i="13"/>
  <c r="AA96" i="14" s="1"/>
  <c r="L96" i="14" s="1"/>
  <c r="BL101" i="13"/>
  <c r="BL27" i="13" s="1"/>
  <c r="BK101" i="13"/>
  <c r="BK27" i="13" s="1"/>
  <c r="BJ101" i="13"/>
  <c r="BI101" i="13"/>
  <c r="BH101" i="13"/>
  <c r="BH27" i="13" s="1"/>
  <c r="BG101" i="13"/>
  <c r="BG27" i="13" s="1"/>
  <c r="BF101" i="13"/>
  <c r="BE101" i="13"/>
  <c r="BD101" i="13"/>
  <c r="BD27" i="13" s="1"/>
  <c r="BC101" i="13"/>
  <c r="BC27" i="13" s="1"/>
  <c r="BB101" i="13"/>
  <c r="BA101" i="13"/>
  <c r="AZ101" i="13"/>
  <c r="AY101" i="13"/>
  <c r="AY27" i="13" s="1"/>
  <c r="AX101" i="13"/>
  <c r="AX27" i="13" s="1"/>
  <c r="AW101" i="13"/>
  <c r="AV101" i="13"/>
  <c r="AU101" i="13"/>
  <c r="AU27" i="13" s="1"/>
  <c r="K101" i="13"/>
  <c r="J101" i="13"/>
  <c r="I101" i="13"/>
  <c r="H101" i="13"/>
  <c r="G101" i="13"/>
  <c r="F101" i="13"/>
  <c r="E101" i="13"/>
  <c r="AT100" i="13"/>
  <c r="AS100" i="13"/>
  <c r="AR100" i="13"/>
  <c r="Y92" i="18" s="1"/>
  <c r="AQ100" i="13"/>
  <c r="AP100" i="13"/>
  <c r="AO100" i="13"/>
  <c r="AN100" i="13"/>
  <c r="K100" i="13"/>
  <c r="J100" i="13"/>
  <c r="I100" i="13"/>
  <c r="H100" i="13"/>
  <c r="G100" i="13"/>
  <c r="F100" i="13"/>
  <c r="E100" i="13"/>
  <c r="BV98" i="13"/>
  <c r="BU98" i="13"/>
  <c r="BT98" i="13"/>
  <c r="BS98" i="13"/>
  <c r="BQ98" i="13"/>
  <c r="BP98" i="13"/>
  <c r="BO98" i="13"/>
  <c r="BM98" i="13"/>
  <c r="AA93" i="14" s="1"/>
  <c r="L93" i="14" s="1"/>
  <c r="BL98" i="13"/>
  <c r="BK98" i="13"/>
  <c r="BJ98" i="13"/>
  <c r="BI98" i="13"/>
  <c r="BH98" i="13"/>
  <c r="BG98" i="13"/>
  <c r="BE98" i="13"/>
  <c r="BC98" i="13"/>
  <c r="BB98" i="13"/>
  <c r="BA98" i="13"/>
  <c r="AZ98" i="13"/>
  <c r="AX98" i="13"/>
  <c r="AW98" i="13"/>
  <c r="AV98" i="13"/>
  <c r="K99" i="13"/>
  <c r="J99" i="13"/>
  <c r="I99" i="13"/>
  <c r="H99" i="13"/>
  <c r="G99" i="13"/>
  <c r="F99" i="13"/>
  <c r="E99" i="13"/>
  <c r="BR98" i="13"/>
  <c r="BN98" i="13"/>
  <c r="BF98" i="13"/>
  <c r="BD98" i="13"/>
  <c r="K98" i="13"/>
  <c r="J98" i="13"/>
  <c r="I98" i="13"/>
  <c r="H98" i="13"/>
  <c r="G98" i="13"/>
  <c r="F98" i="13"/>
  <c r="E98" i="13"/>
  <c r="AT97" i="13"/>
  <c r="AS97" i="13"/>
  <c r="AR97" i="13"/>
  <c r="Y89" i="18" s="1"/>
  <c r="AQ97" i="13"/>
  <c r="AP97" i="13"/>
  <c r="AO97" i="13"/>
  <c r="AN97" i="13"/>
  <c r="K97" i="13"/>
  <c r="J97" i="13"/>
  <c r="I97" i="13"/>
  <c r="H97" i="13"/>
  <c r="G97" i="13"/>
  <c r="F97" i="13"/>
  <c r="E97" i="13"/>
  <c r="AT96" i="13"/>
  <c r="AS96" i="13"/>
  <c r="AR96" i="13"/>
  <c r="Y88" i="18" s="1"/>
  <c r="AQ96" i="13"/>
  <c r="AP96" i="13"/>
  <c r="AO96" i="13"/>
  <c r="AN96" i="13"/>
  <c r="K96" i="13"/>
  <c r="J96" i="13"/>
  <c r="I96" i="13"/>
  <c r="H96" i="13"/>
  <c r="G96" i="13"/>
  <c r="F96" i="13"/>
  <c r="E96" i="13"/>
  <c r="AT95" i="13"/>
  <c r="AS95" i="13"/>
  <c r="AR95" i="13"/>
  <c r="Y87" i="18" s="1"/>
  <c r="AQ95" i="13"/>
  <c r="AP95" i="13"/>
  <c r="AO95" i="13"/>
  <c r="AN95" i="13"/>
  <c r="K95" i="13"/>
  <c r="J95" i="13"/>
  <c r="I95" i="13"/>
  <c r="H95" i="13"/>
  <c r="G95" i="13"/>
  <c r="F95" i="13"/>
  <c r="E95" i="13"/>
  <c r="AT94" i="13"/>
  <c r="AS94" i="13"/>
  <c r="AR94" i="13"/>
  <c r="Y86" i="18" s="1"/>
  <c r="AQ94" i="13"/>
  <c r="AP94" i="13"/>
  <c r="AO94" i="13"/>
  <c r="AN94" i="13"/>
  <c r="K94" i="13"/>
  <c r="J94" i="13"/>
  <c r="I94" i="13"/>
  <c r="H94" i="13"/>
  <c r="G94" i="13"/>
  <c r="F94" i="13"/>
  <c r="E94" i="13"/>
  <c r="AT93" i="13"/>
  <c r="AS93" i="13"/>
  <c r="AR93" i="13"/>
  <c r="Y85" i="18" s="1"/>
  <c r="AQ93" i="13"/>
  <c r="AP93" i="13"/>
  <c r="AO93" i="13"/>
  <c r="AN93" i="13"/>
  <c r="K93" i="13"/>
  <c r="J93" i="13"/>
  <c r="I93" i="13"/>
  <c r="H93" i="13"/>
  <c r="G93" i="13"/>
  <c r="F93" i="13"/>
  <c r="E93" i="13"/>
  <c r="AT92" i="13"/>
  <c r="AS92" i="13"/>
  <c r="AR92" i="13"/>
  <c r="Y84" i="18" s="1"/>
  <c r="AQ92" i="13"/>
  <c r="AP92" i="13"/>
  <c r="AO92" i="13"/>
  <c r="AN92" i="13"/>
  <c r="K92" i="13"/>
  <c r="J92" i="13"/>
  <c r="I92" i="13"/>
  <c r="H92" i="13"/>
  <c r="G92" i="13"/>
  <c r="F92" i="13"/>
  <c r="E92" i="13"/>
  <c r="AT91" i="13"/>
  <c r="AS91" i="13"/>
  <c r="AR91" i="13"/>
  <c r="Y83" i="18" s="1"/>
  <c r="AQ91" i="13"/>
  <c r="AP91" i="13"/>
  <c r="AO91" i="13"/>
  <c r="AN91" i="13"/>
  <c r="K91" i="13"/>
  <c r="J91" i="13"/>
  <c r="I91" i="13"/>
  <c r="H91" i="13"/>
  <c r="G91" i="13"/>
  <c r="F91" i="13"/>
  <c r="E91" i="13"/>
  <c r="K90" i="13"/>
  <c r="J90" i="13"/>
  <c r="I90" i="13"/>
  <c r="H90" i="13"/>
  <c r="G90" i="13"/>
  <c r="F90" i="13"/>
  <c r="E90" i="13"/>
  <c r="K89" i="13"/>
  <c r="J89" i="13"/>
  <c r="I89" i="13"/>
  <c r="H89" i="13"/>
  <c r="G89" i="13"/>
  <c r="F89" i="13"/>
  <c r="E89" i="13"/>
  <c r="AT88" i="13"/>
  <c r="AS88" i="13"/>
  <c r="AR88" i="13"/>
  <c r="Y80" i="18" s="1"/>
  <c r="AQ88" i="13"/>
  <c r="AP88" i="13"/>
  <c r="AO88" i="13"/>
  <c r="AN88" i="13"/>
  <c r="K88" i="13"/>
  <c r="J88" i="13"/>
  <c r="I88" i="13"/>
  <c r="H88" i="13"/>
  <c r="G88" i="13"/>
  <c r="F88" i="13"/>
  <c r="E88" i="13"/>
  <c r="AV87" i="13"/>
  <c r="AV86" i="13"/>
  <c r="AV82" i="13" s="1"/>
  <c r="AT86" i="13"/>
  <c r="AS86" i="13"/>
  <c r="AR86" i="13"/>
  <c r="Y78" i="18" s="1"/>
  <c r="AQ86" i="13"/>
  <c r="AP86" i="13"/>
  <c r="AN86" i="13"/>
  <c r="K86" i="13"/>
  <c r="J86" i="13"/>
  <c r="I86" i="13"/>
  <c r="G80" i="14" s="1"/>
  <c r="H86" i="13"/>
  <c r="G86" i="13"/>
  <c r="E86" i="13"/>
  <c r="AT85" i="13"/>
  <c r="AS85" i="13"/>
  <c r="AR85" i="13"/>
  <c r="Y77" i="18" s="1"/>
  <c r="AQ85" i="13"/>
  <c r="AP85" i="13"/>
  <c r="AN85" i="13"/>
  <c r="K85" i="13"/>
  <c r="J85" i="13"/>
  <c r="I85" i="13"/>
  <c r="G79" i="14" s="1"/>
  <c r="H85" i="13"/>
  <c r="G85" i="13"/>
  <c r="E85" i="13"/>
  <c r="AT84" i="13"/>
  <c r="AS84" i="13"/>
  <c r="AR84" i="13"/>
  <c r="Y76" i="18" s="1"/>
  <c r="AQ84" i="13"/>
  <c r="AP84" i="13"/>
  <c r="AN84" i="13"/>
  <c r="K84" i="13"/>
  <c r="J84" i="13"/>
  <c r="I84" i="13"/>
  <c r="G78" i="14" s="1"/>
  <c r="G76" i="14" s="1"/>
  <c r="G75" i="14" s="1"/>
  <c r="G20" i="14" s="1"/>
  <c r="G18" i="14" s="1"/>
  <c r="G110" i="14" s="1"/>
  <c r="H84" i="13"/>
  <c r="G84" i="13"/>
  <c r="E84" i="13"/>
  <c r="BH81" i="13"/>
  <c r="BG81" i="13"/>
  <c r="BE81" i="13"/>
  <c r="BA81" i="13"/>
  <c r="AZ81" i="13"/>
  <c r="AX81" i="13"/>
  <c r="AW81" i="13"/>
  <c r="AU81" i="13"/>
  <c r="K82" i="13"/>
  <c r="J82" i="13"/>
  <c r="I82" i="13"/>
  <c r="H82" i="13"/>
  <c r="G82" i="13"/>
  <c r="E82" i="13"/>
  <c r="BW82" i="13" s="1"/>
  <c r="K81" i="13"/>
  <c r="J81" i="13"/>
  <c r="I81" i="13"/>
  <c r="H81" i="13"/>
  <c r="G81" i="13"/>
  <c r="E81" i="13"/>
  <c r="AT80" i="13"/>
  <c r="AS80" i="13"/>
  <c r="AR80" i="13"/>
  <c r="Y73" i="18" s="1"/>
  <c r="AQ80" i="13"/>
  <c r="AP80" i="13"/>
  <c r="AO80" i="13"/>
  <c r="AN80" i="13"/>
  <c r="K80" i="13"/>
  <c r="J80" i="13"/>
  <c r="I80" i="13"/>
  <c r="H80" i="13"/>
  <c r="G80" i="13"/>
  <c r="F80" i="13"/>
  <c r="E80" i="13"/>
  <c r="AT77" i="13"/>
  <c r="AS77" i="13"/>
  <c r="AR77" i="13"/>
  <c r="Y70" i="18" s="1"/>
  <c r="AQ77" i="13"/>
  <c r="AP77" i="13"/>
  <c r="AO77" i="13"/>
  <c r="AN77" i="13"/>
  <c r="K77" i="13"/>
  <c r="J77" i="13"/>
  <c r="I77" i="13"/>
  <c r="H77" i="13"/>
  <c r="G77" i="13"/>
  <c r="F77" i="13"/>
  <c r="E77" i="13"/>
  <c r="BV76" i="13"/>
  <c r="BU76" i="13"/>
  <c r="BT76" i="13"/>
  <c r="BS76" i="13"/>
  <c r="BR76" i="13"/>
  <c r="BQ76" i="13"/>
  <c r="BP76" i="13"/>
  <c r="BO76" i="13"/>
  <c r="BN76" i="13"/>
  <c r="BM76" i="13"/>
  <c r="AA71" i="14" s="1"/>
  <c r="L71" i="14" s="1"/>
  <c r="BL76" i="13"/>
  <c r="BK76" i="13"/>
  <c r="BJ76" i="13"/>
  <c r="BI76" i="13"/>
  <c r="BH76" i="13"/>
  <c r="BG76" i="13"/>
  <c r="BF76" i="13"/>
  <c r="BE76" i="13"/>
  <c r="BD76" i="13"/>
  <c r="BC76" i="13"/>
  <c r="BB76" i="13"/>
  <c r="BA76" i="13"/>
  <c r="AZ76" i="13"/>
  <c r="AY76" i="13"/>
  <c r="AX76" i="13"/>
  <c r="AW76" i="13"/>
  <c r="AV76" i="13"/>
  <c r="AU76" i="13"/>
  <c r="K76" i="13"/>
  <c r="J76" i="13"/>
  <c r="I76" i="13"/>
  <c r="H76" i="13"/>
  <c r="G76" i="13"/>
  <c r="F76" i="13"/>
  <c r="E76" i="13"/>
  <c r="K75" i="13"/>
  <c r="J75" i="13"/>
  <c r="I75" i="13"/>
  <c r="H75" i="13"/>
  <c r="G75" i="13"/>
  <c r="F75" i="13"/>
  <c r="E75" i="13"/>
  <c r="AT74" i="13"/>
  <c r="AS74" i="13"/>
  <c r="AR74" i="13"/>
  <c r="Y67" i="18" s="1"/>
  <c r="AQ74" i="13"/>
  <c r="AP74" i="13"/>
  <c r="AO74" i="13"/>
  <c r="AN74" i="13"/>
  <c r="K74" i="13"/>
  <c r="J74" i="13"/>
  <c r="I74" i="13"/>
  <c r="H74" i="13"/>
  <c r="G74" i="13"/>
  <c r="F74" i="13"/>
  <c r="E74" i="13"/>
  <c r="AT73" i="13"/>
  <c r="AS73" i="13"/>
  <c r="AR73" i="13"/>
  <c r="Y66" i="18" s="1"/>
  <c r="AQ73" i="13"/>
  <c r="AP73" i="13"/>
  <c r="AO73" i="13"/>
  <c r="AN73" i="13"/>
  <c r="K73" i="13"/>
  <c r="J73" i="13"/>
  <c r="I73" i="13"/>
  <c r="H73" i="13"/>
  <c r="G73" i="13"/>
  <c r="F73" i="13"/>
  <c r="E73" i="13"/>
  <c r="BV72" i="13"/>
  <c r="BU72" i="13"/>
  <c r="BT72" i="13"/>
  <c r="BS72" i="13"/>
  <c r="BR72" i="13"/>
  <c r="BQ72" i="13"/>
  <c r="BP72" i="13"/>
  <c r="BO72" i="13"/>
  <c r="BN72" i="13"/>
  <c r="BM72" i="13"/>
  <c r="AA67" i="14" s="1"/>
  <c r="L67" i="14" s="1"/>
  <c r="BL72" i="13"/>
  <c r="BK72" i="13"/>
  <c r="BJ72" i="13"/>
  <c r="BI72" i="13"/>
  <c r="BH72" i="13"/>
  <c r="BG72" i="13"/>
  <c r="BF72" i="13"/>
  <c r="BE72" i="13"/>
  <c r="BD72" i="13"/>
  <c r="BC72" i="13"/>
  <c r="BB72" i="13"/>
  <c r="BA72" i="13"/>
  <c r="AZ72" i="13"/>
  <c r="AY72" i="13"/>
  <c r="AX72" i="13"/>
  <c r="AW72" i="13"/>
  <c r="AV72" i="13"/>
  <c r="AU72" i="13"/>
  <c r="K72" i="13"/>
  <c r="J72" i="13"/>
  <c r="I72" i="13"/>
  <c r="H72" i="13"/>
  <c r="G72" i="13"/>
  <c r="F72" i="13"/>
  <c r="E72" i="13"/>
  <c r="AT71" i="13"/>
  <c r="AS71" i="13"/>
  <c r="AR71" i="13"/>
  <c r="Y64" i="18" s="1"/>
  <c r="AQ71" i="13"/>
  <c r="AP71" i="13"/>
  <c r="AO71" i="13"/>
  <c r="AN71" i="13"/>
  <c r="K71" i="13"/>
  <c r="J71" i="13"/>
  <c r="I71" i="13"/>
  <c r="H71" i="13"/>
  <c r="G71" i="13"/>
  <c r="F71" i="13"/>
  <c r="E71" i="13"/>
  <c r="AT70" i="13"/>
  <c r="AS70" i="13"/>
  <c r="AR70" i="13"/>
  <c r="Y63" i="18" s="1"/>
  <c r="AQ70" i="13"/>
  <c r="AP70" i="13"/>
  <c r="AO70" i="13"/>
  <c r="AN70" i="13"/>
  <c r="K70" i="13"/>
  <c r="J70" i="13"/>
  <c r="I70" i="13"/>
  <c r="H70" i="13"/>
  <c r="G70" i="13"/>
  <c r="F70" i="13"/>
  <c r="E70" i="13"/>
  <c r="AT69" i="13"/>
  <c r="AS69" i="13"/>
  <c r="AR69" i="13"/>
  <c r="Y62" i="18" s="1"/>
  <c r="AQ69" i="13"/>
  <c r="AP69" i="13"/>
  <c r="AO69" i="13"/>
  <c r="AN69" i="13"/>
  <c r="K69" i="13"/>
  <c r="J69" i="13"/>
  <c r="I69" i="13"/>
  <c r="H69" i="13"/>
  <c r="G69" i="13"/>
  <c r="F69" i="13"/>
  <c r="E69" i="13"/>
  <c r="AT68" i="13"/>
  <c r="AS68" i="13"/>
  <c r="AR68" i="13"/>
  <c r="Y61" i="18" s="1"/>
  <c r="AQ68" i="13"/>
  <c r="AP68" i="13"/>
  <c r="AO68" i="13"/>
  <c r="AN68" i="13"/>
  <c r="K68" i="13"/>
  <c r="J68" i="13"/>
  <c r="I68" i="13"/>
  <c r="H68" i="13"/>
  <c r="G68" i="13"/>
  <c r="F68" i="13"/>
  <c r="E68" i="13"/>
  <c r="AT67" i="13"/>
  <c r="AS67" i="13"/>
  <c r="AR67" i="13"/>
  <c r="Y60" i="18" s="1"/>
  <c r="AQ67" i="13"/>
  <c r="AP67" i="13"/>
  <c r="AO67" i="13"/>
  <c r="AN67" i="13"/>
  <c r="K67" i="13"/>
  <c r="J67" i="13"/>
  <c r="I67" i="13"/>
  <c r="H67" i="13"/>
  <c r="G67" i="13"/>
  <c r="F67" i="13"/>
  <c r="E67" i="13"/>
  <c r="AT66" i="13"/>
  <c r="AS66" i="13"/>
  <c r="AR66" i="13"/>
  <c r="Y59" i="18" s="1"/>
  <c r="AQ66" i="13"/>
  <c r="AP66" i="13"/>
  <c r="AO66" i="13"/>
  <c r="AN66" i="13"/>
  <c r="K66" i="13"/>
  <c r="J66" i="13"/>
  <c r="I66" i="13"/>
  <c r="H66" i="13"/>
  <c r="G66" i="13"/>
  <c r="F66" i="13"/>
  <c r="E66" i="13"/>
  <c r="AT65" i="13"/>
  <c r="AS65" i="13"/>
  <c r="AR65" i="13"/>
  <c r="Y58" i="18" s="1"/>
  <c r="AQ65" i="13"/>
  <c r="AP65" i="13"/>
  <c r="AO65" i="13"/>
  <c r="AN65" i="13"/>
  <c r="K65" i="13"/>
  <c r="J65" i="13"/>
  <c r="I65" i="13"/>
  <c r="H65" i="13"/>
  <c r="G65" i="13"/>
  <c r="F65" i="13"/>
  <c r="E65" i="13"/>
  <c r="AT64" i="13"/>
  <c r="AS64" i="13"/>
  <c r="AR64" i="13"/>
  <c r="Y57" i="18" s="1"/>
  <c r="AQ64" i="13"/>
  <c r="AP64" i="13"/>
  <c r="AO64" i="13"/>
  <c r="AN64" i="13"/>
  <c r="K64" i="13"/>
  <c r="J64" i="13"/>
  <c r="I64" i="13"/>
  <c r="H64" i="13"/>
  <c r="G64" i="13"/>
  <c r="F64" i="13"/>
  <c r="E64" i="13"/>
  <c r="BV63" i="13"/>
  <c r="BU63" i="13"/>
  <c r="BT63" i="13"/>
  <c r="BS63" i="13"/>
  <c r="BR63" i="13"/>
  <c r="BQ63" i="13"/>
  <c r="BP63" i="13"/>
  <c r="BO63" i="13"/>
  <c r="BN63" i="13"/>
  <c r="BM63" i="13"/>
  <c r="AA58" i="14" s="1"/>
  <c r="L58" i="14" s="1"/>
  <c r="BL63" i="13"/>
  <c r="BK63" i="13"/>
  <c r="BJ63" i="13"/>
  <c r="BI63" i="13"/>
  <c r="BH63" i="13"/>
  <c r="BG63" i="13"/>
  <c r="BF63" i="13"/>
  <c r="BE63" i="13"/>
  <c r="BD63" i="13"/>
  <c r="BC63" i="13"/>
  <c r="BB63" i="13"/>
  <c r="BA63" i="13"/>
  <c r="AZ63" i="13"/>
  <c r="AY63" i="13"/>
  <c r="AX63" i="13"/>
  <c r="AW63" i="13"/>
  <c r="AV63" i="13"/>
  <c r="AU63" i="13"/>
  <c r="K63" i="13"/>
  <c r="J63" i="13"/>
  <c r="I63" i="13"/>
  <c r="H63" i="13"/>
  <c r="G63" i="13"/>
  <c r="F63" i="13"/>
  <c r="E63" i="13"/>
  <c r="AT62" i="13"/>
  <c r="AS62" i="13"/>
  <c r="AR62" i="13"/>
  <c r="Y55" i="18" s="1"/>
  <c r="AQ62" i="13"/>
  <c r="AP62" i="13"/>
  <c r="AO62" i="13"/>
  <c r="AN62" i="13"/>
  <c r="K62" i="13"/>
  <c r="J62" i="13"/>
  <c r="I62" i="13"/>
  <c r="H62" i="13"/>
  <c r="G62" i="13"/>
  <c r="F62" i="13"/>
  <c r="E62" i="13"/>
  <c r="AT61" i="13"/>
  <c r="AS61" i="13"/>
  <c r="AR61" i="13"/>
  <c r="Y54" i="18" s="1"/>
  <c r="AQ61" i="13"/>
  <c r="AP61" i="13"/>
  <c r="AO61" i="13"/>
  <c r="AN61" i="13"/>
  <c r="K61" i="13"/>
  <c r="J61" i="13"/>
  <c r="I61" i="13"/>
  <c r="H61" i="13"/>
  <c r="G61" i="13"/>
  <c r="F61" i="13"/>
  <c r="E61" i="13"/>
  <c r="BV60" i="13"/>
  <c r="BU60" i="13"/>
  <c r="BT60" i="13"/>
  <c r="BS60" i="13"/>
  <c r="BR60" i="13"/>
  <c r="BQ60" i="13"/>
  <c r="BP60" i="13"/>
  <c r="BO60" i="13"/>
  <c r="BN60" i="13"/>
  <c r="BM60" i="13"/>
  <c r="AA55" i="14" s="1"/>
  <c r="L55" i="14" s="1"/>
  <c r="BL60" i="13"/>
  <c r="BK60" i="13"/>
  <c r="BJ60" i="13"/>
  <c r="BI60" i="13"/>
  <c r="BH60" i="13"/>
  <c r="BG60" i="13"/>
  <c r="BF60" i="13"/>
  <c r="BE60" i="13"/>
  <c r="BD60" i="13"/>
  <c r="BC60" i="13"/>
  <c r="BB60" i="13"/>
  <c r="BA60" i="13"/>
  <c r="AZ60" i="13"/>
  <c r="AY60" i="13"/>
  <c r="AX60" i="13"/>
  <c r="AW60" i="13"/>
  <c r="AV60" i="13"/>
  <c r="AU60" i="13"/>
  <c r="K60" i="13"/>
  <c r="J60" i="13"/>
  <c r="I60" i="13"/>
  <c r="H60" i="13"/>
  <c r="G60" i="13"/>
  <c r="F60" i="13"/>
  <c r="E60" i="13"/>
  <c r="AT59" i="13"/>
  <c r="AS59" i="13"/>
  <c r="AR59" i="13"/>
  <c r="Y52" i="18" s="1"/>
  <c r="AQ59" i="13"/>
  <c r="AP59" i="13"/>
  <c r="AO59" i="13"/>
  <c r="AN59" i="13"/>
  <c r="K59" i="13"/>
  <c r="J59" i="13"/>
  <c r="I59" i="13"/>
  <c r="H59" i="13"/>
  <c r="G59" i="13"/>
  <c r="F59" i="13"/>
  <c r="E59" i="13"/>
  <c r="AT52" i="13"/>
  <c r="AS52" i="13"/>
  <c r="AR52" i="13"/>
  <c r="Y45" i="18" s="1"/>
  <c r="AQ52" i="13"/>
  <c r="AP52" i="13"/>
  <c r="K52" i="13"/>
  <c r="J52" i="13"/>
  <c r="H52" i="13"/>
  <c r="G52" i="13"/>
  <c r="E52" i="13"/>
  <c r="AT42" i="13"/>
  <c r="AS42" i="13"/>
  <c r="AR42" i="13"/>
  <c r="Y40" i="18" s="1"/>
  <c r="AQ42" i="13"/>
  <c r="AP42" i="13"/>
  <c r="AN42" i="13"/>
  <c r="AT41" i="13"/>
  <c r="AS41" i="13"/>
  <c r="Y39" i="18"/>
  <c r="AQ41" i="13"/>
  <c r="AP41" i="13"/>
  <c r="AN41" i="13"/>
  <c r="AT40" i="13"/>
  <c r="AS40" i="13"/>
  <c r="Y38" i="18"/>
  <c r="AQ40" i="13"/>
  <c r="AP40" i="13"/>
  <c r="AN40" i="13"/>
  <c r="AT39" i="13"/>
  <c r="AS39" i="13"/>
  <c r="Y37" i="18"/>
  <c r="AQ39" i="13"/>
  <c r="AP39" i="13"/>
  <c r="AN39" i="13"/>
  <c r="AT38" i="13"/>
  <c r="AS38" i="13"/>
  <c r="Y36" i="18"/>
  <c r="AQ38" i="13"/>
  <c r="AP38" i="13"/>
  <c r="AN38" i="13"/>
  <c r="Y35" i="18"/>
  <c r="AT37" i="13"/>
  <c r="AS37" i="13"/>
  <c r="AQ37" i="13"/>
  <c r="AP37" i="13"/>
  <c r="AN37" i="13"/>
  <c r="BV32" i="13"/>
  <c r="BV31" i="13" s="1"/>
  <c r="BU32" i="13"/>
  <c r="BT32" i="13"/>
  <c r="BT31" i="13" s="1"/>
  <c r="BS32" i="13"/>
  <c r="BS31" i="13" s="1"/>
  <c r="BR32" i="13"/>
  <c r="BQ32" i="13"/>
  <c r="BP32" i="13"/>
  <c r="BP31" i="13" s="1"/>
  <c r="BO32" i="13"/>
  <c r="BO31" i="13" s="1"/>
  <c r="BN32" i="13"/>
  <c r="BN31" i="13" s="1"/>
  <c r="BM32" i="13"/>
  <c r="BL32" i="13"/>
  <c r="BK32" i="13"/>
  <c r="BK31" i="13" s="1"/>
  <c r="BJ32" i="13"/>
  <c r="BJ31" i="13" s="1"/>
  <c r="BI32" i="13"/>
  <c r="BH32" i="13"/>
  <c r="BG32" i="13"/>
  <c r="BG31" i="13" s="1"/>
  <c r="BE32" i="13"/>
  <c r="BD32" i="13"/>
  <c r="BD31" i="13" s="1"/>
  <c r="BB32" i="13"/>
  <c r="BB31" i="13" s="1"/>
  <c r="BA32" i="13"/>
  <c r="AZ32" i="13"/>
  <c r="AZ31" i="13" s="1"/>
  <c r="AW32" i="13"/>
  <c r="AW31" i="13" s="1"/>
  <c r="AU32" i="13"/>
  <c r="AU31" i="13" s="1"/>
  <c r="K33" i="13"/>
  <c r="J33" i="13"/>
  <c r="H33" i="13"/>
  <c r="G33" i="13"/>
  <c r="E33" i="13"/>
  <c r="K32" i="13"/>
  <c r="J32" i="13"/>
  <c r="H32" i="13"/>
  <c r="G32" i="13"/>
  <c r="F32" i="13"/>
  <c r="E32" i="13"/>
  <c r="K31" i="13"/>
  <c r="J31" i="13"/>
  <c r="H31" i="13"/>
  <c r="G31" i="13"/>
  <c r="E31" i="13"/>
  <c r="K30" i="13"/>
  <c r="J30" i="13"/>
  <c r="I30" i="13"/>
  <c r="H30" i="13"/>
  <c r="G30" i="13"/>
  <c r="F30" i="13"/>
  <c r="E30" i="13"/>
  <c r="BV29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K29" i="13"/>
  <c r="J29" i="13"/>
  <c r="I29" i="13"/>
  <c r="H29" i="13"/>
  <c r="G29" i="13"/>
  <c r="F29" i="13"/>
  <c r="E29" i="13"/>
  <c r="BV28" i="13"/>
  <c r="BU28" i="13"/>
  <c r="BT28" i="13"/>
  <c r="BS28" i="13"/>
  <c r="BR28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K28" i="13"/>
  <c r="J28" i="13"/>
  <c r="I28" i="13"/>
  <c r="H28" i="13"/>
  <c r="G28" i="13"/>
  <c r="F28" i="13"/>
  <c r="E28" i="13"/>
  <c r="K27" i="13"/>
  <c r="J27" i="13"/>
  <c r="I27" i="13"/>
  <c r="H27" i="13"/>
  <c r="G27" i="13"/>
  <c r="F27" i="13"/>
  <c r="E27" i="13"/>
  <c r="K26" i="13"/>
  <c r="J26" i="13"/>
  <c r="I26" i="13"/>
  <c r="H26" i="13"/>
  <c r="G26" i="13"/>
  <c r="F26" i="13"/>
  <c r="E26" i="13"/>
  <c r="K25" i="13"/>
  <c r="J25" i="13"/>
  <c r="H25" i="13"/>
  <c r="G25" i="13"/>
  <c r="E25" i="13"/>
  <c r="K24" i="13"/>
  <c r="K116" i="13" s="1"/>
  <c r="J24" i="13"/>
  <c r="J116" i="13" s="1"/>
  <c r="H24" i="13"/>
  <c r="H116" i="13" s="1"/>
  <c r="G24" i="13"/>
  <c r="G116" i="13" s="1"/>
  <c r="F116" i="13"/>
  <c r="E24" i="13"/>
  <c r="E116" i="13" s="1"/>
  <c r="R110" i="12"/>
  <c r="R109" i="12"/>
  <c r="R108" i="12"/>
  <c r="R107" i="12"/>
  <c r="Q104" i="12"/>
  <c r="Q103" i="12" s="1"/>
  <c r="P104" i="12"/>
  <c r="P103" i="12" s="1"/>
  <c r="R105" i="12"/>
  <c r="R104" i="12"/>
  <c r="R103" i="12" s="1"/>
  <c r="R102" i="12"/>
  <c r="M101" i="12"/>
  <c r="I101" i="12" s="1"/>
  <c r="M100" i="12"/>
  <c r="I100" i="12" s="1"/>
  <c r="R99" i="12"/>
  <c r="Q99" i="12"/>
  <c r="P99" i="12"/>
  <c r="O99" i="12"/>
  <c r="N99" i="12"/>
  <c r="L99" i="12"/>
  <c r="K99" i="12"/>
  <c r="J99" i="12"/>
  <c r="R98" i="12"/>
  <c r="R97" i="12"/>
  <c r="R96" i="12"/>
  <c r="Q96" i="12"/>
  <c r="P96" i="12"/>
  <c r="O96" i="12"/>
  <c r="N96" i="12"/>
  <c r="M96" i="12"/>
  <c r="L96" i="12"/>
  <c r="K96" i="12"/>
  <c r="J96" i="12"/>
  <c r="I96" i="12"/>
  <c r="R95" i="12"/>
  <c r="R94" i="12"/>
  <c r="Q93" i="12"/>
  <c r="P93" i="12"/>
  <c r="O93" i="12"/>
  <c r="N93" i="12"/>
  <c r="L93" i="12"/>
  <c r="J93" i="12"/>
  <c r="R93" i="12"/>
  <c r="R92" i="12"/>
  <c r="R91" i="12"/>
  <c r="R90" i="12"/>
  <c r="R89" i="12"/>
  <c r="R88" i="12"/>
  <c r="R87" i="12"/>
  <c r="R86" i="12"/>
  <c r="CB71" i="15" l="1"/>
  <c r="D73" i="13"/>
  <c r="BY73" i="13"/>
  <c r="D80" i="13"/>
  <c r="BY80" i="13"/>
  <c r="D91" i="13"/>
  <c r="BY91" i="13"/>
  <c r="D93" i="13"/>
  <c r="BY93" i="13"/>
  <c r="D28" i="13"/>
  <c r="D60" i="13"/>
  <c r="D65" i="13"/>
  <c r="BY65" i="13"/>
  <c r="D67" i="13"/>
  <c r="BY67" i="13"/>
  <c r="D69" i="13"/>
  <c r="BY69" i="13"/>
  <c r="D71" i="13"/>
  <c r="BY71" i="13"/>
  <c r="D76" i="13"/>
  <c r="D102" i="13"/>
  <c r="BY102" i="13"/>
  <c r="D104" i="13"/>
  <c r="BY104" i="13"/>
  <c r="D108" i="13"/>
  <c r="D111" i="13"/>
  <c r="D115" i="13"/>
  <c r="D95" i="13"/>
  <c r="BY95" i="13"/>
  <c r="D26" i="13"/>
  <c r="D68" i="13"/>
  <c r="BY68" i="13"/>
  <c r="D90" i="13"/>
  <c r="BY90" i="13"/>
  <c r="D99" i="13"/>
  <c r="BY99" i="13"/>
  <c r="D103" i="13"/>
  <c r="BY103" i="13"/>
  <c r="D107" i="13"/>
  <c r="BY107" i="13"/>
  <c r="D113" i="13"/>
  <c r="D27" i="13"/>
  <c r="D62" i="13"/>
  <c r="BY62" i="13"/>
  <c r="D75" i="13"/>
  <c r="D88" i="13"/>
  <c r="BY88" i="13"/>
  <c r="D97" i="13"/>
  <c r="BY97" i="13"/>
  <c r="D101" i="13"/>
  <c r="D112" i="13"/>
  <c r="D30" i="13"/>
  <c r="D32" i="13"/>
  <c r="D59" i="13"/>
  <c r="BY59" i="13"/>
  <c r="D64" i="13"/>
  <c r="BY64" i="13"/>
  <c r="D66" i="13"/>
  <c r="BY66" i="13"/>
  <c r="D70" i="13"/>
  <c r="BY70" i="13"/>
  <c r="D72" i="13"/>
  <c r="D29" i="13"/>
  <c r="D61" i="13"/>
  <c r="BY61" i="13"/>
  <c r="D63" i="13"/>
  <c r="D74" i="13"/>
  <c r="BY74" i="13"/>
  <c r="D77" i="13"/>
  <c r="BY77" i="13"/>
  <c r="D89" i="13"/>
  <c r="BY89" i="13"/>
  <c r="D92" i="13"/>
  <c r="BY92" i="13"/>
  <c r="D94" i="13"/>
  <c r="BY94" i="13"/>
  <c r="D96" i="13"/>
  <c r="BY96" i="13"/>
  <c r="D98" i="13"/>
  <c r="D100" i="13"/>
  <c r="BY100" i="13"/>
  <c r="D109" i="13"/>
  <c r="D110" i="13"/>
  <c r="D114" i="13"/>
  <c r="I24" i="13"/>
  <c r="I116" i="13" s="1"/>
  <c r="BV25" i="13"/>
  <c r="AH74" i="15"/>
  <c r="BB23" i="15"/>
  <c r="BB115" i="15" s="1"/>
  <c r="BR23" i="15"/>
  <c r="Q26" i="14"/>
  <c r="AY32" i="13"/>
  <c r="AY31" i="13" s="1"/>
  <c r="AR33" i="13"/>
  <c r="AP26" i="15"/>
  <c r="CB83" i="15"/>
  <c r="CC81" i="15"/>
  <c r="J92" i="14"/>
  <c r="AT26" i="15"/>
  <c r="CC26" i="15" s="1"/>
  <c r="CC59" i="15"/>
  <c r="CB59" i="15" s="1"/>
  <c r="BY83" i="15"/>
  <c r="BZ81" i="15"/>
  <c r="L74" i="15"/>
  <c r="AX108" i="13"/>
  <c r="AX30" i="13" s="1"/>
  <c r="BO108" i="13"/>
  <c r="BO30" i="13" s="1"/>
  <c r="BS108" i="13"/>
  <c r="BS30" i="13" s="1"/>
  <c r="BP108" i="13"/>
  <c r="BP30" i="13" s="1"/>
  <c r="BD108" i="13"/>
  <c r="BD30" i="13" s="1"/>
  <c r="BH108" i="13"/>
  <c r="BH30" i="13" s="1"/>
  <c r="BL108" i="13"/>
  <c r="BL30" i="13" s="1"/>
  <c r="BT108" i="13"/>
  <c r="BT30" i="13" s="1"/>
  <c r="L83" i="14"/>
  <c r="AH108" i="15"/>
  <c r="AH107" i="15" s="1"/>
  <c r="R106" i="12"/>
  <c r="X108" i="15"/>
  <c r="X107" i="15" s="1"/>
  <c r="BP29" i="15"/>
  <c r="BO29" i="15" s="1"/>
  <c r="AT29" i="15" s="1"/>
  <c r="CC29" i="15" s="1"/>
  <c r="AQ29" i="15"/>
  <c r="AE103" i="14"/>
  <c r="AE102" i="14" s="1"/>
  <c r="O103" i="14"/>
  <c r="O102" i="14" s="1"/>
  <c r="X103" i="14"/>
  <c r="X102" i="14" s="1"/>
  <c r="N74" i="15"/>
  <c r="M74" i="15" s="1"/>
  <c r="AG74" i="15"/>
  <c r="AK74" i="15"/>
  <c r="AK25" i="15" s="1"/>
  <c r="BI23" i="15"/>
  <c r="BI115" i="15" s="1"/>
  <c r="AY74" i="15"/>
  <c r="AY25" i="15" s="1"/>
  <c r="CB97" i="15"/>
  <c r="O69" i="14"/>
  <c r="K92" i="14"/>
  <c r="CC89" i="15"/>
  <c r="CB89" i="15" s="1"/>
  <c r="R74" i="15"/>
  <c r="CA89" i="15"/>
  <c r="CA71" i="15"/>
  <c r="K83" i="14"/>
  <c r="J83" i="14" s="1"/>
  <c r="V74" i="15"/>
  <c r="CC75" i="15"/>
  <c r="CB75" i="15" s="1"/>
  <c r="CA75" i="15" s="1"/>
  <c r="AS26" i="15"/>
  <c r="CB26" i="15" s="1"/>
  <c r="BT25" i="15"/>
  <c r="BB68" i="16"/>
  <c r="BA68" i="16" s="1"/>
  <c r="AZ68" i="16" s="1"/>
  <c r="BC69" i="16"/>
  <c r="AW74" i="15"/>
  <c r="AP74" i="15" s="1"/>
  <c r="BZ75" i="15"/>
  <c r="BY75" i="15" s="1"/>
  <c r="BX75" i="15" s="1"/>
  <c r="BW75" i="15" s="1"/>
  <c r="BJ23" i="15"/>
  <c r="BJ115" i="15" s="1"/>
  <c r="BR115" i="15"/>
  <c r="AS74" i="15"/>
  <c r="AH24" i="15"/>
  <c r="AO26" i="15"/>
  <c r="AN26" i="15" s="1"/>
  <c r="AM26" i="15" s="1"/>
  <c r="AL26" i="15" s="1"/>
  <c r="AK26" i="15" s="1"/>
  <c r="T74" i="15"/>
  <c r="BH25" i="15"/>
  <c r="BH23" i="15" s="1"/>
  <c r="AP28" i="13"/>
  <c r="AO28" i="13" s="1"/>
  <c r="BY28" i="13" s="1"/>
  <c r="BM31" i="13"/>
  <c r="BM25" i="13" s="1"/>
  <c r="BE109" i="13"/>
  <c r="BI109" i="13"/>
  <c r="BQ109" i="13"/>
  <c r="BQ108" i="13" s="1"/>
  <c r="BU109" i="13"/>
  <c r="S96" i="12"/>
  <c r="T96" i="12"/>
  <c r="S100" i="12"/>
  <c r="T100" i="12"/>
  <c r="T101" i="12"/>
  <c r="S101" i="12"/>
  <c r="AN29" i="13"/>
  <c r="BW29" i="13" s="1"/>
  <c r="AY25" i="13"/>
  <c r="AD74" i="15"/>
  <c r="AC74" i="15" s="1"/>
  <c r="AB74" i="15" s="1"/>
  <c r="AW27" i="13"/>
  <c r="R69" i="14"/>
  <c r="R20" i="14" s="1"/>
  <c r="BJ27" i="13"/>
  <c r="BI31" i="13"/>
  <c r="BI25" i="13" s="1"/>
  <c r="BF27" i="13"/>
  <c r="BE27" i="13" s="1"/>
  <c r="AQ27" i="13" s="1"/>
  <c r="BN27" i="13"/>
  <c r="BM27" i="13" s="1"/>
  <c r="BR27" i="13"/>
  <c r="AS111" i="13"/>
  <c r="CB100" i="15"/>
  <c r="N75" i="14"/>
  <c r="BV23" i="15"/>
  <c r="BV115" i="15" s="1"/>
  <c r="AE69" i="14"/>
  <c r="AD69" i="14" s="1"/>
  <c r="M24" i="15"/>
  <c r="AF74" i="15"/>
  <c r="CC27" i="15"/>
  <c r="CB27" i="15" s="1"/>
  <c r="CA27" i="15" s="1"/>
  <c r="BZ27" i="15" s="1"/>
  <c r="BY27" i="15" s="1"/>
  <c r="BX27" i="15" s="1"/>
  <c r="BW27" i="15" s="1"/>
  <c r="W69" i="14"/>
  <c r="BN23" i="15"/>
  <c r="BN115" i="15" s="1"/>
  <c r="BL25" i="15"/>
  <c r="AQ26" i="15"/>
  <c r="N83" i="14"/>
  <c r="M83" i="14" s="1"/>
  <c r="BA31" i="13"/>
  <c r="BA25" i="13" s="1"/>
  <c r="BB27" i="13"/>
  <c r="AN60" i="13"/>
  <c r="CC110" i="15"/>
  <c r="CB110" i="15" s="1"/>
  <c r="AO76" i="13"/>
  <c r="BY76" i="13" s="1"/>
  <c r="BH75" i="13"/>
  <c r="AT82" i="13"/>
  <c r="AR82" i="13"/>
  <c r="Y75" i="18" s="1"/>
  <c r="AO98" i="13"/>
  <c r="BY98" i="13" s="1"/>
  <c r="AN111" i="13"/>
  <c r="CC98" i="15"/>
  <c r="CB98" i="15" s="1"/>
  <c r="CA98" i="15" s="1"/>
  <c r="CC80" i="15"/>
  <c r="CB80" i="15" s="1"/>
  <c r="CA80" i="15" s="1"/>
  <c r="BZ80" i="15" s="1"/>
  <c r="BY80" i="15" s="1"/>
  <c r="BX80" i="15" s="1"/>
  <c r="CC31" i="15"/>
  <c r="S69" i="14"/>
  <c r="S20" i="14" s="1"/>
  <c r="V69" i="14"/>
  <c r="AP98" i="13"/>
  <c r="BZ71" i="15"/>
  <c r="BY71" i="15" s="1"/>
  <c r="BX71" i="15" s="1"/>
  <c r="BW71" i="15" s="1"/>
  <c r="AT33" i="13"/>
  <c r="AR60" i="13"/>
  <c r="Y53" i="18" s="1"/>
  <c r="BF81" i="13"/>
  <c r="CC73" i="15"/>
  <c r="CB73" i="15" s="1"/>
  <c r="CA73" i="15" s="1"/>
  <c r="BZ73" i="15" s="1"/>
  <c r="BY73" i="15" s="1"/>
  <c r="BX73" i="15" s="1"/>
  <c r="BW73" i="15" s="1"/>
  <c r="AO74" i="15"/>
  <c r="AZ25" i="13"/>
  <c r="AN72" i="13"/>
  <c r="AR72" i="13"/>
  <c r="Y65" i="18" s="1"/>
  <c r="AP101" i="13"/>
  <c r="CA100" i="15"/>
  <c r="BZ100" i="15" s="1"/>
  <c r="BY100" i="15" s="1"/>
  <c r="BX100" i="15" s="1"/>
  <c r="BW100" i="15" s="1"/>
  <c r="CC107" i="15"/>
  <c r="CB107" i="15" s="1"/>
  <c r="Q74" i="15"/>
  <c r="P74" i="15" s="1"/>
  <c r="O74" i="15" s="1"/>
  <c r="Y74" i="15"/>
  <c r="X74" i="15" s="1"/>
  <c r="W74" i="15" s="1"/>
  <c r="AR26" i="15"/>
  <c r="N21" i="14"/>
  <c r="AW30" i="13"/>
  <c r="AT109" i="13"/>
  <c r="BA30" i="13"/>
  <c r="AT32" i="13"/>
  <c r="AP60" i="13"/>
  <c r="AO60" i="13" s="1"/>
  <c r="BY60" i="13" s="1"/>
  <c r="AQ60" i="13"/>
  <c r="AP72" i="13"/>
  <c r="AO72" i="13" s="1"/>
  <c r="BY72" i="13" s="1"/>
  <c r="AQ72" i="13"/>
  <c r="AX75" i="13"/>
  <c r="AX26" i="13" s="1"/>
  <c r="AQ76" i="13"/>
  <c r="AT28" i="13"/>
  <c r="AS28" i="13" s="1"/>
  <c r="AQ28" i="13"/>
  <c r="AR28" i="13"/>
  <c r="Y29" i="18" s="1"/>
  <c r="BR31" i="13"/>
  <c r="BQ31" i="13" s="1"/>
  <c r="BQ25" i="13" s="1"/>
  <c r="AP33" i="13"/>
  <c r="AN63" i="13"/>
  <c r="AR63" i="13"/>
  <c r="Y56" i="18" s="1"/>
  <c r="AP63" i="13"/>
  <c r="AO63" i="13" s="1"/>
  <c r="BY63" i="13" s="1"/>
  <c r="AQ63" i="13"/>
  <c r="AQ81" i="13"/>
  <c r="BP75" i="13"/>
  <c r="BR75" i="13"/>
  <c r="BQ75" i="13" s="1"/>
  <c r="AS82" i="13"/>
  <c r="BS75" i="13"/>
  <c r="BS26" i="13" s="1"/>
  <c r="AN101" i="13"/>
  <c r="BW101" i="13" s="1"/>
  <c r="AR101" i="13"/>
  <c r="Y93" i="18" s="1"/>
  <c r="AQ111" i="13"/>
  <c r="AP111" i="13" s="1"/>
  <c r="AS76" i="13"/>
  <c r="BO75" i="13"/>
  <c r="AU30" i="13"/>
  <c r="BG30" i="13"/>
  <c r="AR111" i="13"/>
  <c r="Y103" i="18" s="1"/>
  <c r="AY109" i="13"/>
  <c r="AY108" i="13" s="1"/>
  <c r="AQ31" i="15"/>
  <c r="BE30" i="15"/>
  <c r="AJ74" i="15"/>
  <c r="M75" i="14"/>
  <c r="Z75" i="14"/>
  <c r="L75" i="14"/>
  <c r="AT88" i="15"/>
  <c r="BA74" i="15"/>
  <c r="AT29" i="13"/>
  <c r="AS29" i="13" s="1"/>
  <c r="BK30" i="13"/>
  <c r="AO101" i="13"/>
  <c r="BY101" i="13" s="1"/>
  <c r="AV27" i="13"/>
  <c r="AS101" i="13"/>
  <c r="AZ27" i="13"/>
  <c r="AP109" i="13"/>
  <c r="I68" i="16"/>
  <c r="Q69" i="14"/>
  <c r="AS29" i="15"/>
  <c r="CB29" i="15" s="1"/>
  <c r="BK25" i="15"/>
  <c r="AN80" i="15"/>
  <c r="BW80" i="15" s="1"/>
  <c r="AU25" i="13"/>
  <c r="M93" i="12"/>
  <c r="AQ29" i="13"/>
  <c r="AQ33" i="13"/>
  <c r="AX32" i="13"/>
  <c r="AP82" i="13"/>
  <c r="BD81" i="13"/>
  <c r="AU98" i="13"/>
  <c r="AN98" i="13" s="1"/>
  <c r="AY98" i="13"/>
  <c r="AR98" i="13" s="1"/>
  <c r="Y90" i="18" s="1"/>
  <c r="AM25" i="17"/>
  <c r="BC30" i="15"/>
  <c r="AO30" i="15" s="1"/>
  <c r="AO31" i="15"/>
  <c r="BP25" i="13"/>
  <c r="BO25" i="13" s="1"/>
  <c r="BN25" i="13" s="1"/>
  <c r="BH31" i="13"/>
  <c r="AT60" i="13"/>
  <c r="AS60" i="13" s="1"/>
  <c r="AT63" i="13"/>
  <c r="AS63" i="13" s="1"/>
  <c r="AT72" i="13"/>
  <c r="AS72" i="13" s="1"/>
  <c r="AY81" i="13"/>
  <c r="BK75" i="13"/>
  <c r="AS98" i="13"/>
  <c r="AT101" i="13"/>
  <c r="AZ30" i="13"/>
  <c r="CA97" i="15"/>
  <c r="BZ97" i="15" s="1"/>
  <c r="BY97" i="15" s="1"/>
  <c r="BX97" i="15" s="1"/>
  <c r="BW97" i="15" s="1"/>
  <c r="BZ89" i="15"/>
  <c r="BY89" i="15" s="1"/>
  <c r="BX89" i="15" s="1"/>
  <c r="BW89" i="15" s="1"/>
  <c r="BL31" i="13"/>
  <c r="BL25" i="13" s="1"/>
  <c r="AP76" i="13"/>
  <c r="AT98" i="13"/>
  <c r="AT111" i="13"/>
  <c r="BZ98" i="15"/>
  <c r="BY98" i="15" s="1"/>
  <c r="BX98" i="15" s="1"/>
  <c r="BW98" i="15" s="1"/>
  <c r="BF25" i="15"/>
  <c r="BF23" i="15" s="1"/>
  <c r="BF115" i="15" s="1"/>
  <c r="AS31" i="15"/>
  <c r="CB31" i="15" s="1"/>
  <c r="CA31" i="15" s="1"/>
  <c r="AZ30" i="15"/>
  <c r="BP24" i="15"/>
  <c r="BO24" i="15" s="1"/>
  <c r="BQ23" i="15"/>
  <c r="AH69" i="14"/>
  <c r="AG69" i="14" s="1"/>
  <c r="AF69" i="14" s="1"/>
  <c r="AT30" i="15"/>
  <c r="CC30" i="15" s="1"/>
  <c r="BA24" i="15"/>
  <c r="AN28" i="13"/>
  <c r="BW28" i="13" s="1"/>
  <c r="AN32" i="13"/>
  <c r="AS32" i="13"/>
  <c r="BA27" i="13"/>
  <c r="BI27" i="13"/>
  <c r="BQ27" i="13"/>
  <c r="AR29" i="13"/>
  <c r="Y30" i="18" s="1"/>
  <c r="AS33" i="13"/>
  <c r="BG75" i="13"/>
  <c r="AN76" i="13"/>
  <c r="BW76" i="13" s="1"/>
  <c r="AR76" i="13"/>
  <c r="Y69" i="18" s="1"/>
  <c r="BW77" i="13"/>
  <c r="AS81" i="13"/>
  <c r="BN30" i="13"/>
  <c r="CA110" i="15"/>
  <c r="BZ110" i="15" s="1"/>
  <c r="BY110" i="15" s="1"/>
  <c r="BX110" i="15" s="1"/>
  <c r="BW110" i="15" s="1"/>
  <c r="X24" i="15"/>
  <c r="Q21" i="14"/>
  <c r="L21" i="14" s="1"/>
  <c r="K21" i="14" s="1"/>
  <c r="J21" i="14" s="1"/>
  <c r="M21" i="14"/>
  <c r="AQ88" i="15"/>
  <c r="AX74" i="15"/>
  <c r="AB69" i="14"/>
  <c r="AE74" i="15"/>
  <c r="AP29" i="15"/>
  <c r="AO29" i="15" s="1"/>
  <c r="BL24" i="15"/>
  <c r="BK24" i="15" s="1"/>
  <c r="BM23" i="15"/>
  <c r="BM115" i="15" s="1"/>
  <c r="J75" i="14"/>
  <c r="AT76" i="13"/>
  <c r="AR108" i="15"/>
  <c r="R30" i="15"/>
  <c r="Q30" i="15" s="1"/>
  <c r="Q24" i="15" s="1"/>
  <c r="S24" i="15"/>
  <c r="AP29" i="13"/>
  <c r="AO29" i="13" s="1"/>
  <c r="BY29" i="13" s="1"/>
  <c r="L27" i="14"/>
  <c r="CB62" i="15"/>
  <c r="CA62" i="15" s="1"/>
  <c r="BZ62" i="15" s="1"/>
  <c r="BY62" i="15" s="1"/>
  <c r="BX62" i="15" s="1"/>
  <c r="BW62" i="15" s="1"/>
  <c r="AV24" i="15"/>
  <c r="AV23" i="15" s="1"/>
  <c r="AV115" i="15" s="1"/>
  <c r="W103" i="14"/>
  <c r="W102" i="14" s="1"/>
  <c r="AA25" i="14"/>
  <c r="AA19" i="14" s="1"/>
  <c r="AB19" i="14"/>
  <c r="O20" i="14"/>
  <c r="BU31" i="13"/>
  <c r="BU25" i="13" s="1"/>
  <c r="BT25" i="13" s="1"/>
  <c r="AP32" i="13"/>
  <c r="AW75" i="13"/>
  <c r="BA75" i="13"/>
  <c r="BA26" i="13" s="1"/>
  <c r="AQ101" i="13"/>
  <c r="BM109" i="13"/>
  <c r="Z97" i="15"/>
  <c r="Z74" i="15" s="1"/>
  <c r="AA74" i="15"/>
  <c r="AT108" i="15"/>
  <c r="AN108" i="15"/>
  <c r="AU74" i="15"/>
  <c r="AK72" i="17"/>
  <c r="AG72" i="17"/>
  <c r="AL71" i="17"/>
  <c r="CA59" i="15"/>
  <c r="BZ59" i="15" s="1"/>
  <c r="BY59" i="15" s="1"/>
  <c r="BX59" i="15" s="1"/>
  <c r="BW59" i="15" s="1"/>
  <c r="AN30" i="15"/>
  <c r="AM30" i="15" s="1"/>
  <c r="AL30" i="15" s="1"/>
  <c r="AK30" i="15" s="1"/>
  <c r="AK24" i="15" s="1"/>
  <c r="AU24" i="15"/>
  <c r="BT24" i="15"/>
  <c r="BS24" i="15" s="1"/>
  <c r="BU23" i="15"/>
  <c r="BU115" i="15" s="1"/>
  <c r="Z24" i="15"/>
  <c r="P24" i="14"/>
  <c r="T69" i="14"/>
  <c r="P20" i="14"/>
  <c r="AQ98" i="13"/>
  <c r="BW62" i="13"/>
  <c r="BW64" i="13"/>
  <c r="BW65" i="13"/>
  <c r="BW66" i="13"/>
  <c r="BW71" i="13"/>
  <c r="BW73" i="13"/>
  <c r="BW74" i="13"/>
  <c r="BW100" i="13"/>
  <c r="AQ82" i="13"/>
  <c r="BW52" i="13"/>
  <c r="BW59" i="13"/>
  <c r="BW61" i="13"/>
  <c r="BW67" i="13"/>
  <c r="BW68" i="13"/>
  <c r="BW69" i="13"/>
  <c r="BW70" i="13"/>
  <c r="BW80" i="13"/>
  <c r="BW88" i="13"/>
  <c r="BW91" i="13"/>
  <c r="BW92" i="13"/>
  <c r="BW93" i="13"/>
  <c r="BW94" i="13"/>
  <c r="BW95" i="13"/>
  <c r="BW96" i="13"/>
  <c r="BW97" i="13"/>
  <c r="BW102" i="13"/>
  <c r="BW103" i="13"/>
  <c r="BW104" i="13"/>
  <c r="BW107" i="13"/>
  <c r="BW85" i="13"/>
  <c r="BW86" i="13"/>
  <c r="BE31" i="13"/>
  <c r="AW40" i="15"/>
  <c r="BD39" i="15" s="1"/>
  <c r="AW39" i="15" s="1"/>
  <c r="BD38" i="15" s="1"/>
  <c r="AW38" i="15" s="1"/>
  <c r="BD37" i="15" s="1"/>
  <c r="AW37" i="15" s="1"/>
  <c r="AO30" i="17"/>
  <c r="AN30" i="17" s="1"/>
  <c r="AI30" i="17" s="1"/>
  <c r="AH30" i="17"/>
  <c r="AG30" i="17" s="1"/>
  <c r="AR24" i="17"/>
  <c r="K93" i="12"/>
  <c r="I99" i="12"/>
  <c r="I26" i="12" s="1"/>
  <c r="M99" i="12"/>
  <c r="M84" i="12"/>
  <c r="K84" i="12"/>
  <c r="R85" i="12"/>
  <c r="Q84" i="12"/>
  <c r="P84" i="12"/>
  <c r="O84" i="12"/>
  <c r="J84" i="12"/>
  <c r="R84" i="12"/>
  <c r="N84" i="12"/>
  <c r="L84" i="12"/>
  <c r="R83" i="12"/>
  <c r="R82" i="12"/>
  <c r="M82" i="12"/>
  <c r="I82" i="12" s="1"/>
  <c r="R81" i="12"/>
  <c r="M81" i="12"/>
  <c r="AO85" i="13"/>
  <c r="BY85" i="13" s="1"/>
  <c r="R78" i="12"/>
  <c r="M78" i="12"/>
  <c r="K78" i="12"/>
  <c r="K77" i="12" s="1"/>
  <c r="AV83" i="13" s="1"/>
  <c r="R77" i="12"/>
  <c r="Q76" i="12"/>
  <c r="P76" i="12"/>
  <c r="O76" i="12"/>
  <c r="L76" i="12"/>
  <c r="J76" i="12"/>
  <c r="R76" i="12"/>
  <c r="N76" i="12"/>
  <c r="R75" i="12"/>
  <c r="M74" i="12"/>
  <c r="I74" i="12" s="1"/>
  <c r="I73" i="12"/>
  <c r="R72" i="12"/>
  <c r="Q72" i="12"/>
  <c r="P72" i="12"/>
  <c r="O72" i="12"/>
  <c r="O71" i="12" s="1"/>
  <c r="N72" i="12"/>
  <c r="N71" i="12" s="1"/>
  <c r="L72" i="12"/>
  <c r="L71" i="12" s="1"/>
  <c r="K72" i="12"/>
  <c r="K71" i="12" s="1"/>
  <c r="J72" i="12"/>
  <c r="J71" i="12" s="1"/>
  <c r="R71" i="12"/>
  <c r="Q71" i="12"/>
  <c r="P71" i="12"/>
  <c r="R70" i="12"/>
  <c r="R69" i="12"/>
  <c r="R68" i="12"/>
  <c r="R67" i="12"/>
  <c r="Q67" i="12"/>
  <c r="P67" i="12"/>
  <c r="O67" i="12"/>
  <c r="N67" i="12"/>
  <c r="M67" i="12"/>
  <c r="L67" i="12"/>
  <c r="K67" i="12"/>
  <c r="J67" i="12"/>
  <c r="I67" i="12"/>
  <c r="R66" i="12"/>
  <c r="R65" i="12"/>
  <c r="R64" i="12"/>
  <c r="R63" i="12"/>
  <c r="R62" i="12"/>
  <c r="R61" i="12"/>
  <c r="R60" i="12"/>
  <c r="R59" i="12"/>
  <c r="R58" i="12"/>
  <c r="Q58" i="12"/>
  <c r="P58" i="12"/>
  <c r="O58" i="12"/>
  <c r="N58" i="12"/>
  <c r="M58" i="12"/>
  <c r="L58" i="12"/>
  <c r="K58" i="12"/>
  <c r="J58" i="12"/>
  <c r="I58" i="12"/>
  <c r="R57" i="12"/>
  <c r="R56" i="12"/>
  <c r="R55" i="12"/>
  <c r="Q55" i="12"/>
  <c r="P55" i="12"/>
  <c r="O55" i="12"/>
  <c r="N55" i="12"/>
  <c r="M55" i="12"/>
  <c r="L55" i="12"/>
  <c r="K55" i="12"/>
  <c r="J55" i="12"/>
  <c r="I55" i="12"/>
  <c r="R54" i="12"/>
  <c r="R47" i="12"/>
  <c r="H39" i="12"/>
  <c r="H38" i="12"/>
  <c r="M34" i="12"/>
  <c r="K34" i="12"/>
  <c r="H34" i="12"/>
  <c r="M33" i="12"/>
  <c r="I33" i="12" s="1"/>
  <c r="H33" i="12"/>
  <c r="M32" i="12"/>
  <c r="K32" i="12"/>
  <c r="H32" i="12"/>
  <c r="R31" i="12"/>
  <c r="Q31" i="12"/>
  <c r="Q30" i="12" s="1"/>
  <c r="Q29" i="12" s="1"/>
  <c r="P30" i="12"/>
  <c r="P29" i="12" s="1"/>
  <c r="O31" i="12"/>
  <c r="O30" i="12" s="1"/>
  <c r="O29" i="12" s="1"/>
  <c r="N31" i="12"/>
  <c r="N30" i="12" s="1"/>
  <c r="N29" i="12" s="1"/>
  <c r="L31" i="12"/>
  <c r="L30" i="12" s="1"/>
  <c r="L29" i="12" s="1"/>
  <c r="J31" i="12"/>
  <c r="J30" i="12" s="1"/>
  <c r="J29" i="12" s="1"/>
  <c r="R30" i="12"/>
  <c r="R29" i="12"/>
  <c r="R28" i="12"/>
  <c r="R27" i="12"/>
  <c r="Q27" i="12"/>
  <c r="P27" i="12"/>
  <c r="O27" i="12"/>
  <c r="N27" i="12"/>
  <c r="M27" i="12"/>
  <c r="L27" i="12"/>
  <c r="K27" i="12"/>
  <c r="J27" i="12"/>
  <c r="I27" i="12"/>
  <c r="R26" i="12"/>
  <c r="Q26" i="12"/>
  <c r="P26" i="12"/>
  <c r="O26" i="12"/>
  <c r="N26" i="12"/>
  <c r="L26" i="12"/>
  <c r="K26" i="12"/>
  <c r="J26" i="12"/>
  <c r="R25" i="12"/>
  <c r="Q25" i="12"/>
  <c r="P25" i="12"/>
  <c r="O25" i="12"/>
  <c r="N25" i="12"/>
  <c r="M25" i="12"/>
  <c r="L25" i="12"/>
  <c r="K25" i="12"/>
  <c r="J25" i="12"/>
  <c r="I25" i="12"/>
  <c r="R24" i="12"/>
  <c r="R23" i="12"/>
  <c r="R22" i="12"/>
  <c r="S111" i="11"/>
  <c r="Q111" i="11"/>
  <c r="V110" i="11"/>
  <c r="R110" i="11"/>
  <c r="P110" i="11"/>
  <c r="D110" i="11"/>
  <c r="V109" i="11"/>
  <c r="R109" i="11"/>
  <c r="P109" i="11"/>
  <c r="D109" i="11"/>
  <c r="V108" i="11"/>
  <c r="R108" i="11"/>
  <c r="P108" i="11"/>
  <c r="D108" i="11"/>
  <c r="V107" i="11"/>
  <c r="R107" i="11"/>
  <c r="P107" i="11"/>
  <c r="D107" i="11"/>
  <c r="M106" i="11"/>
  <c r="M104" i="11" s="1"/>
  <c r="M103" i="11" s="1"/>
  <c r="K106" i="11"/>
  <c r="K104" i="11" s="1"/>
  <c r="K103" i="11" s="1"/>
  <c r="J106" i="11"/>
  <c r="J104" i="11" s="1"/>
  <c r="J103" i="11" s="1"/>
  <c r="D106" i="11"/>
  <c r="V105" i="11"/>
  <c r="R105" i="11"/>
  <c r="P105" i="11"/>
  <c r="D105" i="11"/>
  <c r="D104" i="11"/>
  <c r="D103" i="11"/>
  <c r="V102" i="11"/>
  <c r="T102" i="11"/>
  <c r="R102" i="11"/>
  <c r="P102" i="11"/>
  <c r="D102" i="11"/>
  <c r="O102" i="11" s="1"/>
  <c r="M99" i="11"/>
  <c r="V99" i="11" s="1"/>
  <c r="K99" i="11"/>
  <c r="R99" i="11" s="1"/>
  <c r="J99" i="11"/>
  <c r="D99" i="11"/>
  <c r="V98" i="11"/>
  <c r="T98" i="11"/>
  <c r="R98" i="11"/>
  <c r="P98" i="11"/>
  <c r="I98" i="11"/>
  <c r="D98" i="11"/>
  <c r="V97" i="11"/>
  <c r="T97" i="11"/>
  <c r="R97" i="11"/>
  <c r="P97" i="11"/>
  <c r="I97" i="11"/>
  <c r="D97" i="11"/>
  <c r="M96" i="11"/>
  <c r="L96" i="11"/>
  <c r="U96" i="11" s="1"/>
  <c r="K96" i="11"/>
  <c r="R96" i="11" s="1"/>
  <c r="J96" i="11"/>
  <c r="D96" i="11"/>
  <c r="V95" i="11"/>
  <c r="T95" i="11"/>
  <c r="R95" i="11"/>
  <c r="P95" i="11"/>
  <c r="D95" i="11"/>
  <c r="M93" i="11"/>
  <c r="K93" i="11"/>
  <c r="J93" i="11"/>
  <c r="D94" i="11"/>
  <c r="D93" i="11"/>
  <c r="V92" i="11"/>
  <c r="T92" i="11"/>
  <c r="R92" i="11"/>
  <c r="P92" i="11"/>
  <c r="D92" i="11"/>
  <c r="V91" i="11"/>
  <c r="T91" i="11"/>
  <c r="R91" i="11"/>
  <c r="P91" i="11"/>
  <c r="D91" i="11"/>
  <c r="V90" i="11"/>
  <c r="T90" i="11"/>
  <c r="R90" i="11"/>
  <c r="P90" i="11"/>
  <c r="D90" i="11"/>
  <c r="V89" i="11"/>
  <c r="T89" i="11"/>
  <c r="R89" i="11"/>
  <c r="P89" i="11"/>
  <c r="D89" i="11"/>
  <c r="V88" i="11"/>
  <c r="T88" i="11"/>
  <c r="R88" i="11"/>
  <c r="P88" i="11"/>
  <c r="D88" i="11"/>
  <c r="V87" i="11"/>
  <c r="T87" i="11"/>
  <c r="R87" i="11"/>
  <c r="P87" i="11"/>
  <c r="D87" i="11"/>
  <c r="V86" i="11"/>
  <c r="T86" i="11"/>
  <c r="R86" i="11"/>
  <c r="P86" i="11"/>
  <c r="D86" i="11"/>
  <c r="K84" i="11"/>
  <c r="J84" i="11"/>
  <c r="D85" i="11"/>
  <c r="D84" i="11"/>
  <c r="V83" i="11"/>
  <c r="T83" i="11"/>
  <c r="R83" i="11"/>
  <c r="P83" i="11"/>
  <c r="I83" i="11"/>
  <c r="D83" i="11"/>
  <c r="V81" i="11"/>
  <c r="R81" i="11"/>
  <c r="P81" i="11"/>
  <c r="D81" i="11"/>
  <c r="V80" i="11"/>
  <c r="R80" i="11"/>
  <c r="P80" i="11"/>
  <c r="D80" i="11"/>
  <c r="V78" i="11"/>
  <c r="R78" i="11"/>
  <c r="P78" i="11"/>
  <c r="D78" i="11"/>
  <c r="M76" i="11"/>
  <c r="R77" i="11"/>
  <c r="P77" i="11"/>
  <c r="D77" i="11"/>
  <c r="D76" i="11"/>
  <c r="V75" i="11"/>
  <c r="T75" i="11"/>
  <c r="R75" i="11"/>
  <c r="P75" i="11"/>
  <c r="I75" i="11"/>
  <c r="D75" i="11"/>
  <c r="M72" i="11"/>
  <c r="M71" i="11" s="1"/>
  <c r="K72" i="11"/>
  <c r="K71" i="11" s="1"/>
  <c r="J72" i="11"/>
  <c r="J71" i="11" s="1"/>
  <c r="G72" i="11"/>
  <c r="F72" i="11"/>
  <c r="E72" i="11"/>
  <c r="D71" i="11"/>
  <c r="V69" i="11"/>
  <c r="T69" i="11"/>
  <c r="R69" i="11"/>
  <c r="P69" i="11"/>
  <c r="I69" i="11"/>
  <c r="D69" i="11"/>
  <c r="V68" i="11"/>
  <c r="T68" i="11"/>
  <c r="R68" i="11"/>
  <c r="P68" i="11"/>
  <c r="I68" i="11"/>
  <c r="D68" i="11"/>
  <c r="M67" i="11"/>
  <c r="L67" i="11"/>
  <c r="K67" i="11"/>
  <c r="J67" i="11"/>
  <c r="D67" i="11"/>
  <c r="V66" i="11"/>
  <c r="T66" i="11"/>
  <c r="R66" i="11"/>
  <c r="P66" i="11"/>
  <c r="I66" i="11"/>
  <c r="D66" i="11"/>
  <c r="V65" i="11"/>
  <c r="T65" i="11"/>
  <c r="R65" i="11"/>
  <c r="P65" i="11"/>
  <c r="I65" i="11"/>
  <c r="D65" i="11"/>
  <c r="V64" i="11"/>
  <c r="T64" i="11"/>
  <c r="R64" i="11"/>
  <c r="P64" i="11"/>
  <c r="I64" i="11"/>
  <c r="D64" i="11"/>
  <c r="V63" i="11"/>
  <c r="T63" i="11"/>
  <c r="R63" i="11"/>
  <c r="P63" i="11"/>
  <c r="I63" i="11"/>
  <c r="D63" i="11"/>
  <c r="V62" i="11"/>
  <c r="T62" i="11"/>
  <c r="R62" i="11"/>
  <c r="P62" i="11"/>
  <c r="I62" i="11"/>
  <c r="D62" i="11"/>
  <c r="V61" i="11"/>
  <c r="T61" i="11"/>
  <c r="R61" i="11"/>
  <c r="P61" i="11"/>
  <c r="I61" i="11"/>
  <c r="D61" i="11"/>
  <c r="V60" i="11"/>
  <c r="T60" i="11"/>
  <c r="R60" i="11"/>
  <c r="P60" i="11"/>
  <c r="I60" i="11"/>
  <c r="D60" i="11"/>
  <c r="V59" i="11"/>
  <c r="T59" i="11"/>
  <c r="R59" i="11"/>
  <c r="P59" i="11"/>
  <c r="I59" i="11"/>
  <c r="D59" i="11"/>
  <c r="M58" i="11"/>
  <c r="L58" i="11"/>
  <c r="K58" i="11"/>
  <c r="J58" i="11"/>
  <c r="D58" i="11"/>
  <c r="V57" i="11"/>
  <c r="T57" i="11"/>
  <c r="R57" i="11"/>
  <c r="P57" i="11"/>
  <c r="I57" i="11"/>
  <c r="D57" i="11"/>
  <c r="V56" i="11"/>
  <c r="T56" i="11"/>
  <c r="R56" i="11"/>
  <c r="P56" i="11"/>
  <c r="I56" i="11"/>
  <c r="D56" i="11"/>
  <c r="M55" i="11"/>
  <c r="L55" i="11"/>
  <c r="K55" i="11"/>
  <c r="J55" i="11"/>
  <c r="D55" i="11"/>
  <c r="V54" i="11"/>
  <c r="T54" i="11"/>
  <c r="R54" i="11"/>
  <c r="P54" i="11"/>
  <c r="I54" i="11"/>
  <c r="D54" i="11"/>
  <c r="V47" i="11"/>
  <c r="T47" i="11"/>
  <c r="R47" i="11"/>
  <c r="P47" i="11"/>
  <c r="D47" i="11"/>
  <c r="V31" i="11"/>
  <c r="R31" i="11"/>
  <c r="P31" i="11"/>
  <c r="D31" i="11"/>
  <c r="M30" i="11"/>
  <c r="M29" i="11" s="1"/>
  <c r="K30" i="11"/>
  <c r="J30" i="11"/>
  <c r="H30" i="11"/>
  <c r="H29" i="11" s="1"/>
  <c r="G30" i="11"/>
  <c r="F30" i="11"/>
  <c r="R30" i="11" s="1"/>
  <c r="E30" i="11"/>
  <c r="P30" i="11" s="1"/>
  <c r="G33" i="12" l="1"/>
  <c r="D33" i="12"/>
  <c r="G39" i="12"/>
  <c r="D39" i="12"/>
  <c r="G32" i="12"/>
  <c r="D32" i="12"/>
  <c r="G38" i="12"/>
  <c r="D38" i="12"/>
  <c r="G34" i="12"/>
  <c r="D34" i="12"/>
  <c r="AO24" i="17"/>
  <c r="AW25" i="15"/>
  <c r="AP25" i="15" s="1"/>
  <c r="AO25" i="15" s="1"/>
  <c r="I32" i="12"/>
  <c r="U32" i="12" s="1"/>
  <c r="AV48" i="13"/>
  <c r="AO48" i="13" s="1"/>
  <c r="BY48" i="13" s="1"/>
  <c r="M23" i="11"/>
  <c r="CA26" i="15"/>
  <c r="I34" i="12"/>
  <c r="U34" i="12" s="1"/>
  <c r="BS25" i="13"/>
  <c r="M77" i="12"/>
  <c r="BC83" i="13" s="1"/>
  <c r="AO83" i="13" s="1"/>
  <c r="BY83" i="13" s="1"/>
  <c r="BM108" i="13"/>
  <c r="AA103" i="14" s="1"/>
  <c r="AA104" i="14"/>
  <c r="L104" i="14" s="1"/>
  <c r="CA83" i="15"/>
  <c r="CA81" i="15" s="1"/>
  <c r="CB81" i="15"/>
  <c r="BX83" i="15"/>
  <c r="BY81" i="15"/>
  <c r="P72" i="11"/>
  <c r="AR74" i="15"/>
  <c r="AQ109" i="13"/>
  <c r="BE108" i="13"/>
  <c r="AQ108" i="13" s="1"/>
  <c r="AS109" i="13"/>
  <c r="BU108" i="13"/>
  <c r="AN109" i="13"/>
  <c r="BI108" i="13"/>
  <c r="AN108" i="13" s="1"/>
  <c r="BC86" i="13"/>
  <c r="AO86" i="13" s="1"/>
  <c r="BY86" i="13" s="1"/>
  <c r="I81" i="12"/>
  <c r="AG108" i="15"/>
  <c r="AG107" i="15" s="1"/>
  <c r="W108" i="15"/>
  <c r="W107" i="15" s="1"/>
  <c r="AD103" i="14"/>
  <c r="AD102" i="14" s="1"/>
  <c r="P104" i="11"/>
  <c r="P103" i="11"/>
  <c r="AH20" i="14"/>
  <c r="AG20" i="14" s="1"/>
  <c r="AF20" i="14" s="1"/>
  <c r="BW72" i="13"/>
  <c r="AN31" i="13"/>
  <c r="BR25" i="13"/>
  <c r="BA62" i="16"/>
  <c r="AZ62" i="16" s="1"/>
  <c r="AY62" i="16" s="1"/>
  <c r="AX62" i="16" s="1"/>
  <c r="AW62" i="16" s="1"/>
  <c r="AV62" i="16" s="1"/>
  <c r="AU62" i="16" s="1"/>
  <c r="AT62" i="16" s="1"/>
  <c r="AS62" i="16" s="1"/>
  <c r="AR62" i="16" s="1"/>
  <c r="AQ62" i="16" s="1"/>
  <c r="AP62" i="16" s="1"/>
  <c r="AO62" i="16" s="1"/>
  <c r="AN62" i="16" s="1"/>
  <c r="AM62" i="16" s="1"/>
  <c r="AL62" i="16" s="1"/>
  <c r="AK62" i="16" s="1"/>
  <c r="AJ62" i="16" s="1"/>
  <c r="AI62" i="16" s="1"/>
  <c r="AH62" i="16" s="1"/>
  <c r="AG62" i="16" s="1"/>
  <c r="AF62" i="16" s="1"/>
  <c r="AE62" i="16" s="1"/>
  <c r="AD62" i="16" s="1"/>
  <c r="AC62" i="16" s="1"/>
  <c r="AB62" i="16" s="1"/>
  <c r="AA62" i="16" s="1"/>
  <c r="Z62" i="16" s="1"/>
  <c r="Y62" i="16" s="1"/>
  <c r="X62" i="16" s="1"/>
  <c r="W62" i="16" s="1"/>
  <c r="V62" i="16" s="1"/>
  <c r="U62" i="16" s="1"/>
  <c r="T62" i="16" s="1"/>
  <c r="S62" i="16" s="1"/>
  <c r="R62" i="16" s="1"/>
  <c r="Q62" i="16" s="1"/>
  <c r="P62" i="16" s="1"/>
  <c r="O62" i="16" s="1"/>
  <c r="N62" i="16" s="1"/>
  <c r="M62" i="16" s="1"/>
  <c r="L62" i="16" s="1"/>
  <c r="K62" i="16" s="1"/>
  <c r="J62" i="16" s="1"/>
  <c r="I62" i="16" s="1"/>
  <c r="BG62" i="16" s="1"/>
  <c r="BB62" i="16"/>
  <c r="BB26" i="16" s="1"/>
  <c r="BB24" i="16" s="1"/>
  <c r="H68" i="16"/>
  <c r="BG68" i="16"/>
  <c r="BG23" i="15"/>
  <c r="BG115" i="15" s="1"/>
  <c r="BH115" i="15"/>
  <c r="BP23" i="15"/>
  <c r="BQ115" i="15"/>
  <c r="AR27" i="13"/>
  <c r="Y28" i="18" s="1"/>
  <c r="AN27" i="13"/>
  <c r="BW27" i="13" s="1"/>
  <c r="BV27" i="13" s="1"/>
  <c r="AT27" i="13" s="1"/>
  <c r="AT31" i="13"/>
  <c r="AP81" i="13"/>
  <c r="AP31" i="13"/>
  <c r="T73" i="12"/>
  <c r="S73" i="12"/>
  <c r="U73" i="12"/>
  <c r="S82" i="12"/>
  <c r="T82" i="12"/>
  <c r="T25" i="12"/>
  <c r="S25" i="12"/>
  <c r="U25" i="12"/>
  <c r="S26" i="12"/>
  <c r="U26" i="12"/>
  <c r="T26" i="12"/>
  <c r="T55" i="12"/>
  <c r="S55" i="12"/>
  <c r="U55" i="12"/>
  <c r="S58" i="12"/>
  <c r="U58" i="12"/>
  <c r="T58" i="12"/>
  <c r="T67" i="12"/>
  <c r="S67" i="12"/>
  <c r="U67" i="12"/>
  <c r="S74" i="12"/>
  <c r="U74" i="12"/>
  <c r="T74" i="12"/>
  <c r="T99" i="12"/>
  <c r="S99" i="12"/>
  <c r="T27" i="12"/>
  <c r="S27" i="12"/>
  <c r="U27" i="12"/>
  <c r="P23" i="12"/>
  <c r="O57" i="11"/>
  <c r="O54" i="11"/>
  <c r="O60" i="11"/>
  <c r="O62" i="11"/>
  <c r="O64" i="11"/>
  <c r="T55" i="11"/>
  <c r="U55" i="11"/>
  <c r="T58" i="11"/>
  <c r="U58" i="11"/>
  <c r="T67" i="11"/>
  <c r="U67" i="11"/>
  <c r="G29" i="11"/>
  <c r="O59" i="11"/>
  <c r="O61" i="11"/>
  <c r="O65" i="11"/>
  <c r="O75" i="11"/>
  <c r="O98" i="11"/>
  <c r="O66" i="11"/>
  <c r="N86" i="11"/>
  <c r="O86" i="11"/>
  <c r="N88" i="11"/>
  <c r="O88" i="11"/>
  <c r="N90" i="11"/>
  <c r="O90" i="11"/>
  <c r="N92" i="11"/>
  <c r="O92" i="11"/>
  <c r="I96" i="11"/>
  <c r="O96" i="11" s="1"/>
  <c r="O97" i="11"/>
  <c r="N62" i="11"/>
  <c r="O83" i="11"/>
  <c r="N47" i="11"/>
  <c r="O47" i="11"/>
  <c r="I55" i="11"/>
  <c r="O55" i="11" s="1"/>
  <c r="O56" i="11"/>
  <c r="N63" i="11"/>
  <c r="O63" i="11"/>
  <c r="I67" i="11"/>
  <c r="O67" i="11" s="1"/>
  <c r="O68" i="11"/>
  <c r="N87" i="11"/>
  <c r="O87" i="11"/>
  <c r="N89" i="11"/>
  <c r="O89" i="11"/>
  <c r="N91" i="11"/>
  <c r="O91" i="11"/>
  <c r="N95" i="11"/>
  <c r="O95" i="11"/>
  <c r="O69" i="11"/>
  <c r="N75" i="11"/>
  <c r="T96" i="11"/>
  <c r="BW98" i="13"/>
  <c r="R67" i="11"/>
  <c r="P67" i="11" s="1"/>
  <c r="N69" i="11"/>
  <c r="J76" i="11"/>
  <c r="P76" i="11" s="1"/>
  <c r="Q70" i="12"/>
  <c r="Q24" i="12" s="1"/>
  <c r="BZ26" i="15"/>
  <c r="BY26" i="15" s="1"/>
  <c r="BX26" i="15" s="1"/>
  <c r="BW26" i="15" s="1"/>
  <c r="N64" i="11"/>
  <c r="N65" i="11"/>
  <c r="N66" i="11"/>
  <c r="N102" i="11"/>
  <c r="L23" i="12"/>
  <c r="BD36" i="15"/>
  <c r="AP27" i="13"/>
  <c r="Z69" i="14"/>
  <c r="Y69" i="14" s="1"/>
  <c r="Y20" i="14" s="1"/>
  <c r="BJ30" i="13"/>
  <c r="AJ25" i="15"/>
  <c r="AI25" i="15" s="1"/>
  <c r="AH25" i="15" s="1"/>
  <c r="AG25" i="15" s="1"/>
  <c r="AF25" i="15" s="1"/>
  <c r="AZ75" i="13"/>
  <c r="AZ26" i="13" s="1"/>
  <c r="AZ24" i="13" s="1"/>
  <c r="AZ116" i="13" s="1"/>
  <c r="N54" i="11"/>
  <c r="N83" i="11"/>
  <c r="V94" i="11"/>
  <c r="M69" i="14"/>
  <c r="AE20" i="14"/>
  <c r="AD20" i="14" s="1"/>
  <c r="V103" i="11"/>
  <c r="V104" i="11"/>
  <c r="BR26" i="13"/>
  <c r="BQ26" i="13" s="1"/>
  <c r="F29" i="11"/>
  <c r="E29" i="11" s="1"/>
  <c r="I58" i="11"/>
  <c r="N68" i="11"/>
  <c r="N97" i="11"/>
  <c r="N98" i="11"/>
  <c r="N23" i="12"/>
  <c r="BW60" i="13"/>
  <c r="R55" i="11"/>
  <c r="P55" i="11" s="1"/>
  <c r="N57" i="11"/>
  <c r="N59" i="11"/>
  <c r="N60" i="11"/>
  <c r="N61" i="11"/>
  <c r="P99" i="11"/>
  <c r="Q28" i="12"/>
  <c r="P28" i="12" s="1"/>
  <c r="O23" i="12"/>
  <c r="BW63" i="13"/>
  <c r="L70" i="12"/>
  <c r="P70" i="12"/>
  <c r="P24" i="12" s="1"/>
  <c r="N70" i="12"/>
  <c r="N24" i="12" s="1"/>
  <c r="V58" i="11"/>
  <c r="O70" i="12"/>
  <c r="O24" i="12" s="1"/>
  <c r="O24" i="14"/>
  <c r="R24" i="15"/>
  <c r="BZ31" i="15"/>
  <c r="BF30" i="13"/>
  <c r="BR30" i="13"/>
  <c r="AP108" i="13"/>
  <c r="BU27" i="13"/>
  <c r="AS27" i="13" s="1"/>
  <c r="J70" i="12"/>
  <c r="J24" i="12" s="1"/>
  <c r="R71" i="11"/>
  <c r="P71" i="11" s="1"/>
  <c r="V29" i="11"/>
  <c r="V103" i="14"/>
  <c r="V102" i="14" s="1"/>
  <c r="AR81" i="13"/>
  <c r="Y74" i="18" s="1"/>
  <c r="AY75" i="13"/>
  <c r="AY26" i="13" s="1"/>
  <c r="V30" i="11"/>
  <c r="V67" i="11"/>
  <c r="V77" i="11"/>
  <c r="P96" i="11"/>
  <c r="BT23" i="15"/>
  <c r="AJ72" i="17"/>
  <c r="AE72" i="17" s="1"/>
  <c r="AC72" i="17" s="1"/>
  <c r="AF72" i="17"/>
  <c r="AK71" i="17"/>
  <c r="AN107" i="15"/>
  <c r="AU29" i="15"/>
  <c r="AN29" i="15" s="1"/>
  <c r="AW26" i="13"/>
  <c r="BF32" i="13"/>
  <c r="Y34" i="18"/>
  <c r="AS31" i="13"/>
  <c r="AX31" i="13"/>
  <c r="AX25" i="13" s="1"/>
  <c r="AQ32" i="13"/>
  <c r="BH25" i="13"/>
  <c r="AT25" i="13" s="1"/>
  <c r="AO27" i="13"/>
  <c r="BY27" i="13" s="1"/>
  <c r="K75" i="14"/>
  <c r="BE24" i="15"/>
  <c r="AQ30" i="15"/>
  <c r="AR109" i="13"/>
  <c r="Y101" i="18" s="1"/>
  <c r="R58" i="11"/>
  <c r="P58" i="11" s="1"/>
  <c r="Q24" i="14"/>
  <c r="AU75" i="13"/>
  <c r="AU26" i="13" s="1"/>
  <c r="AU24" i="13" s="1"/>
  <c r="AU116" i="13" s="1"/>
  <c r="N56" i="11"/>
  <c r="K76" i="11"/>
  <c r="K70" i="11" s="1"/>
  <c r="R70" i="11" s="1"/>
  <c r="Q23" i="12"/>
  <c r="M26" i="12"/>
  <c r="AN24" i="15"/>
  <c r="AM24" i="15" s="1"/>
  <c r="AL25" i="17"/>
  <c r="AN74" i="15"/>
  <c r="AU25" i="15"/>
  <c r="AN25" i="15" s="1"/>
  <c r="AS108" i="15"/>
  <c r="CC108" i="15"/>
  <c r="AC20" i="14"/>
  <c r="BF75" i="13"/>
  <c r="BE75" i="13" s="1"/>
  <c r="BG26" i="13"/>
  <c r="AT24" i="15"/>
  <c r="BK25" i="13"/>
  <c r="BA24" i="13"/>
  <c r="BA116" i="13" s="1"/>
  <c r="AT74" i="15"/>
  <c r="CC74" i="15" s="1"/>
  <c r="CB74" i="15" s="1"/>
  <c r="BA25" i="15"/>
  <c r="AT25" i="15" s="1"/>
  <c r="AE25" i="15"/>
  <c r="AD25" i="15" s="1"/>
  <c r="BN75" i="13"/>
  <c r="BM75" i="13" s="1"/>
  <c r="BO26" i="13"/>
  <c r="BP26" i="13"/>
  <c r="V71" i="11"/>
  <c r="V76" i="11"/>
  <c r="AR107" i="15"/>
  <c r="CA107" i="15" s="1"/>
  <c r="BZ107" i="15" s="1"/>
  <c r="BY107" i="15" s="1"/>
  <c r="BX107" i="15" s="1"/>
  <c r="AY29" i="15"/>
  <c r="AR29" i="15" s="1"/>
  <c r="CA29" i="15" s="1"/>
  <c r="BZ29" i="15" s="1"/>
  <c r="BY29" i="15" s="1"/>
  <c r="BX29" i="15" s="1"/>
  <c r="X69" i="14"/>
  <c r="N69" i="14" s="1"/>
  <c r="D30" i="11"/>
  <c r="D29" i="11" s="1"/>
  <c r="D23" i="11" s="1"/>
  <c r="V55" i="11"/>
  <c r="V93" i="11"/>
  <c r="V96" i="11"/>
  <c r="V106" i="11"/>
  <c r="P18" i="14"/>
  <c r="Z19" i="14"/>
  <c r="V26" i="14"/>
  <c r="BL23" i="15"/>
  <c r="AQ74" i="15"/>
  <c r="AX25" i="15"/>
  <c r="AY30" i="15"/>
  <c r="AZ24" i="15"/>
  <c r="AS30" i="15"/>
  <c r="CB30" i="15" s="1"/>
  <c r="BJ75" i="13"/>
  <c r="BI75" i="13" s="1"/>
  <c r="BK26" i="13"/>
  <c r="Q20" i="14"/>
  <c r="L69" i="14"/>
  <c r="AS88" i="15"/>
  <c r="CC88" i="15"/>
  <c r="BE25" i="13"/>
  <c r="AV40" i="13"/>
  <c r="AO40" i="13" s="1"/>
  <c r="BY40" i="13" s="1"/>
  <c r="U38" i="12"/>
  <c r="AV37" i="13"/>
  <c r="U33" i="12"/>
  <c r="AO38" i="13"/>
  <c r="BY38" i="13" s="1"/>
  <c r="AV39" i="13"/>
  <c r="AO39" i="13" s="1"/>
  <c r="BY39" i="13" s="1"/>
  <c r="CC32" i="15"/>
  <c r="CB32" i="15" s="1"/>
  <c r="CA32" i="15" s="1"/>
  <c r="BZ32" i="15" s="1"/>
  <c r="U25" i="14"/>
  <c r="AN24" i="17"/>
  <c r="M72" i="12"/>
  <c r="M71" i="12" s="1"/>
  <c r="K76" i="12"/>
  <c r="K70" i="12" s="1"/>
  <c r="I78" i="12"/>
  <c r="I72" i="12"/>
  <c r="AV42" i="13"/>
  <c r="K28" i="11"/>
  <c r="G28" i="11"/>
  <c r="F28" i="11"/>
  <c r="E28" i="11"/>
  <c r="M27" i="11"/>
  <c r="L27" i="11"/>
  <c r="K27" i="11"/>
  <c r="J27" i="11"/>
  <c r="I27" i="11"/>
  <c r="H27" i="11"/>
  <c r="G27" i="11"/>
  <c r="F27" i="11"/>
  <c r="E27" i="11"/>
  <c r="M26" i="11"/>
  <c r="K26" i="11"/>
  <c r="J26" i="11"/>
  <c r="G26" i="11"/>
  <c r="F26" i="11"/>
  <c r="E26" i="11"/>
  <c r="M25" i="11"/>
  <c r="L25" i="11" s="1"/>
  <c r="K25" i="11"/>
  <c r="J25" i="11"/>
  <c r="H25" i="11"/>
  <c r="G25" i="11"/>
  <c r="F25" i="11"/>
  <c r="R25" i="11" s="1"/>
  <c r="E25" i="11"/>
  <c r="D26" i="11" l="1"/>
  <c r="CA74" i="15"/>
  <c r="I77" i="12"/>
  <c r="M76" i="12"/>
  <c r="M70" i="12" s="1"/>
  <c r="M24" i="12" s="1"/>
  <c r="L24" i="12" s="1"/>
  <c r="D25" i="11"/>
  <c r="R26" i="11"/>
  <c r="D27" i="11"/>
  <c r="N27" i="11" s="1"/>
  <c r="D28" i="11"/>
  <c r="AW36" i="15"/>
  <c r="BD32" i="15"/>
  <c r="BD31" i="15" s="1"/>
  <c r="BM30" i="13"/>
  <c r="BL75" i="13"/>
  <c r="AQ75" i="13" s="1"/>
  <c r="AA70" i="14"/>
  <c r="L70" i="14" s="1"/>
  <c r="BA26" i="16"/>
  <c r="AZ26" i="16" s="1"/>
  <c r="AY26" i="16" s="1"/>
  <c r="AX26" i="16" s="1"/>
  <c r="AW26" i="16" s="1"/>
  <c r="AV26" i="16" s="1"/>
  <c r="AU26" i="16" s="1"/>
  <c r="AT26" i="16" s="1"/>
  <c r="AS26" i="16" s="1"/>
  <c r="AR26" i="16" s="1"/>
  <c r="AQ26" i="16" s="1"/>
  <c r="AP26" i="16" s="1"/>
  <c r="AO26" i="16" s="1"/>
  <c r="AN26" i="16" s="1"/>
  <c r="AM26" i="16" s="1"/>
  <c r="AL26" i="16" s="1"/>
  <c r="AK26" i="16" s="1"/>
  <c r="AJ26" i="16" s="1"/>
  <c r="AI26" i="16" s="1"/>
  <c r="AH26" i="16" s="1"/>
  <c r="AG26" i="16" s="1"/>
  <c r="AF26" i="16" s="1"/>
  <c r="AE26" i="16" s="1"/>
  <c r="AD26" i="16" s="1"/>
  <c r="AC26" i="16" s="1"/>
  <c r="AB26" i="16" s="1"/>
  <c r="AA26" i="16" s="1"/>
  <c r="Z26" i="16" s="1"/>
  <c r="Y26" i="16" s="1"/>
  <c r="X26" i="16" s="1"/>
  <c r="W26" i="16" s="1"/>
  <c r="V26" i="16" s="1"/>
  <c r="U26" i="16" s="1"/>
  <c r="T26" i="16" s="1"/>
  <c r="S26" i="16" s="1"/>
  <c r="R26" i="16" s="1"/>
  <c r="Q26" i="16" s="1"/>
  <c r="P26" i="16" s="1"/>
  <c r="O26" i="16" s="1"/>
  <c r="N26" i="16" s="1"/>
  <c r="M26" i="16" s="1"/>
  <c r="L26" i="16" s="1"/>
  <c r="K26" i="16" s="1"/>
  <c r="J26" i="16" s="1"/>
  <c r="I26" i="16" s="1"/>
  <c r="BG26" i="16" s="1"/>
  <c r="BW83" i="15"/>
  <c r="BW81" i="15" s="1"/>
  <c r="BX81" i="15"/>
  <c r="BE30" i="13"/>
  <c r="AQ30" i="13" s="1"/>
  <c r="BI30" i="13"/>
  <c r="AF108" i="15"/>
  <c r="AF107" i="15" s="1"/>
  <c r="N96" i="11"/>
  <c r="V108" i="15"/>
  <c r="V107" i="15" s="1"/>
  <c r="AC103" i="14"/>
  <c r="AC102" i="14" s="1"/>
  <c r="O18" i="14"/>
  <c r="O110" i="14" s="1"/>
  <c r="N55" i="11"/>
  <c r="BQ30" i="13"/>
  <c r="N67" i="11"/>
  <c r="G68" i="16"/>
  <c r="BF68" i="16"/>
  <c r="H62" i="16"/>
  <c r="H26" i="16" s="1"/>
  <c r="BK23" i="15"/>
  <c r="BL115" i="15"/>
  <c r="BO23" i="15"/>
  <c r="BO115" i="15" s="1"/>
  <c r="BP115" i="15"/>
  <c r="BS23" i="15"/>
  <c r="BS115" i="15" s="1"/>
  <c r="BT115" i="15"/>
  <c r="BW107" i="15"/>
  <c r="X20" i="14"/>
  <c r="W20" i="14" s="1"/>
  <c r="S33" i="12"/>
  <c r="S38" i="12"/>
  <c r="S72" i="12"/>
  <c r="U72" i="12"/>
  <c r="T72" i="12"/>
  <c r="S78" i="12"/>
  <c r="U78" i="12"/>
  <c r="T78" i="12"/>
  <c r="T94" i="12"/>
  <c r="S94" i="12"/>
  <c r="S81" i="12"/>
  <c r="U81" i="12"/>
  <c r="T81" i="12"/>
  <c r="T34" i="12"/>
  <c r="T32" i="12"/>
  <c r="S34" i="12"/>
  <c r="T38" i="12"/>
  <c r="T33" i="12"/>
  <c r="S32" i="12"/>
  <c r="Q22" i="12"/>
  <c r="P22" i="12" s="1"/>
  <c r="I25" i="11"/>
  <c r="N25" i="11" s="1"/>
  <c r="U27" i="11"/>
  <c r="U25" i="11"/>
  <c r="N58" i="11"/>
  <c r="O58" i="11"/>
  <c r="V26" i="11"/>
  <c r="BN26" i="13"/>
  <c r="BM26" i="13" s="1"/>
  <c r="BW29" i="15"/>
  <c r="P25" i="11"/>
  <c r="M28" i="11"/>
  <c r="V28" i="11" s="1"/>
  <c r="J69" i="14"/>
  <c r="BZ74" i="15"/>
  <c r="BY74" i="15" s="1"/>
  <c r="BX74" i="15" s="1"/>
  <c r="BW74" i="15" s="1"/>
  <c r="T27" i="11"/>
  <c r="P27" i="11"/>
  <c r="CB88" i="15"/>
  <c r="CA88" i="15" s="1"/>
  <c r="BZ88" i="15" s="1"/>
  <c r="BY88" i="15" s="1"/>
  <c r="BX88" i="15" s="1"/>
  <c r="BJ26" i="13"/>
  <c r="BI26" i="13" s="1"/>
  <c r="AU23" i="15"/>
  <c r="AN23" i="15" s="1"/>
  <c r="K69" i="14"/>
  <c r="BQ24" i="13"/>
  <c r="BQ116" i="13" s="1"/>
  <c r="J70" i="11"/>
  <c r="P70" i="11" s="1"/>
  <c r="T25" i="11"/>
  <c r="V25" i="11"/>
  <c r="J28" i="11"/>
  <c r="AQ31" i="13"/>
  <c r="AP30" i="13"/>
  <c r="V27" i="11"/>
  <c r="AO37" i="13"/>
  <c r="BY37" i="13" s="1"/>
  <c r="R27" i="11"/>
  <c r="CB108" i="15"/>
  <c r="CA108" i="15" s="1"/>
  <c r="BZ108" i="15" s="1"/>
  <c r="BY108" i="15" s="1"/>
  <c r="BX108" i="15" s="1"/>
  <c r="BW108" i="15" s="1"/>
  <c r="BF26" i="13"/>
  <c r="BE26" i="13" s="1"/>
  <c r="BR24" i="13"/>
  <c r="BR116" i="13" s="1"/>
  <c r="AS24" i="15"/>
  <c r="AZ23" i="15"/>
  <c r="AZ115" i="15" s="1"/>
  <c r="L26" i="14"/>
  <c r="V25" i="14"/>
  <c r="V19" i="14" s="1"/>
  <c r="BE23" i="15"/>
  <c r="BE115" i="15" s="1"/>
  <c r="AQ24" i="15"/>
  <c r="Y19" i="14"/>
  <c r="BP24" i="13"/>
  <c r="AC25" i="15"/>
  <c r="AB20" i="14"/>
  <c r="AA20" i="14" s="1"/>
  <c r="AL24" i="15"/>
  <c r="AW25" i="13"/>
  <c r="AW24" i="13" s="1"/>
  <c r="AW116" i="13" s="1"/>
  <c r="AX24" i="13"/>
  <c r="AX116" i="13" s="1"/>
  <c r="AM29" i="15"/>
  <c r="AM23" i="15" s="1"/>
  <c r="AM115" i="15" s="1"/>
  <c r="U103" i="14"/>
  <c r="U102" i="14" s="1"/>
  <c r="L103" i="14"/>
  <c r="BB102" i="16"/>
  <c r="BH26" i="13"/>
  <c r="BH24" i="13" s="1"/>
  <c r="BH116" i="13" s="1"/>
  <c r="AQ25" i="15"/>
  <c r="AX23" i="15"/>
  <c r="AX115" i="15" s="1"/>
  <c r="P110" i="14"/>
  <c r="BD75" i="13"/>
  <c r="AP75" i="13" s="1"/>
  <c r="AR108" i="13"/>
  <c r="Y100" i="18" s="1"/>
  <c r="AY30" i="13"/>
  <c r="BG25" i="13"/>
  <c r="BF31" i="13"/>
  <c r="AR32" i="13"/>
  <c r="Y33" i="18" s="1"/>
  <c r="V20" i="14"/>
  <c r="U20" i="14" s="1"/>
  <c r="AS25" i="15"/>
  <c r="AR25" i="15" s="1"/>
  <c r="CC25" i="15"/>
  <c r="BJ25" i="13"/>
  <c r="BK24" i="13"/>
  <c r="BK116" i="13" s="1"/>
  <c r="AK25" i="17"/>
  <c r="AJ71" i="17"/>
  <c r="T25" i="14"/>
  <c r="U19" i="14"/>
  <c r="K25" i="14"/>
  <c r="AY24" i="15"/>
  <c r="AR30" i="15"/>
  <c r="CA30" i="15" s="1"/>
  <c r="BZ30" i="15" s="1"/>
  <c r="P26" i="11"/>
  <c r="BA23" i="15"/>
  <c r="AB72" i="17"/>
  <c r="AC71" i="17"/>
  <c r="BD25" i="13"/>
  <c r="AQ25" i="13"/>
  <c r="K24" i="12"/>
  <c r="AM24" i="17"/>
  <c r="AA30" i="17"/>
  <c r="AA24" i="17" s="1"/>
  <c r="J23" i="12"/>
  <c r="BB25" i="13"/>
  <c r="AN25" i="13" s="1"/>
  <c r="I71" i="12"/>
  <c r="I93" i="12"/>
  <c r="K24" i="11"/>
  <c r="G24" i="11"/>
  <c r="F24" i="11"/>
  <c r="E24" i="11"/>
  <c r="H23" i="11"/>
  <c r="F23" i="11"/>
  <c r="E23" i="11" s="1"/>
  <c r="AJ25" i="17" l="1"/>
  <c r="AR30" i="13"/>
  <c r="Y31" i="18" s="1"/>
  <c r="BA24" i="16"/>
  <c r="AZ24" i="16" s="1"/>
  <c r="AY24" i="16" s="1"/>
  <c r="AX24" i="16" s="1"/>
  <c r="AW24" i="16" s="1"/>
  <c r="AV24" i="16" s="1"/>
  <c r="AU24" i="16" s="1"/>
  <c r="AT24" i="16" s="1"/>
  <c r="AS24" i="16" s="1"/>
  <c r="AR24" i="16" s="1"/>
  <c r="AQ24" i="16" s="1"/>
  <c r="AP24" i="16" s="1"/>
  <c r="AO24" i="16" s="1"/>
  <c r="AN24" i="16" s="1"/>
  <c r="AM24" i="16" s="1"/>
  <c r="AL24" i="16" s="1"/>
  <c r="AK24" i="16" s="1"/>
  <c r="AJ24" i="16" s="1"/>
  <c r="AI24" i="16" s="1"/>
  <c r="AH24" i="16" s="1"/>
  <c r="AG24" i="16" s="1"/>
  <c r="AF24" i="16" s="1"/>
  <c r="AE24" i="16" s="1"/>
  <c r="AD24" i="16" s="1"/>
  <c r="AC24" i="16" s="1"/>
  <c r="AB24" i="16" s="1"/>
  <c r="AA24" i="16" s="1"/>
  <c r="Z24" i="16" s="1"/>
  <c r="Y24" i="16" s="1"/>
  <c r="X24" i="16" s="1"/>
  <c r="W24" i="16" s="1"/>
  <c r="V24" i="16" s="1"/>
  <c r="U24" i="16" s="1"/>
  <c r="T24" i="16" s="1"/>
  <c r="S24" i="16" s="1"/>
  <c r="R24" i="16" s="1"/>
  <c r="Q24" i="16" s="1"/>
  <c r="P24" i="16" s="1"/>
  <c r="O24" i="16" s="1"/>
  <c r="N24" i="16" s="1"/>
  <c r="M24" i="16" s="1"/>
  <c r="L24" i="16" s="1"/>
  <c r="K24" i="16" s="1"/>
  <c r="J24" i="16" s="1"/>
  <c r="I24" i="16" s="1"/>
  <c r="BG24" i="16" s="1"/>
  <c r="BG102" i="16" s="1"/>
  <c r="O27" i="11"/>
  <c r="AW32" i="15"/>
  <c r="AW31" i="15" s="1"/>
  <c r="BK115" i="15"/>
  <c r="BD30" i="15"/>
  <c r="BD24" i="15" s="1"/>
  <c r="BL26" i="13"/>
  <c r="BL24" i="13" s="1"/>
  <c r="BL116" i="13" s="1"/>
  <c r="BI24" i="13"/>
  <c r="BI116" i="13" s="1"/>
  <c r="AE108" i="15"/>
  <c r="AE107" i="15" s="1"/>
  <c r="G23" i="11"/>
  <c r="G22" i="11" s="1"/>
  <c r="G111" i="11" s="1"/>
  <c r="AU115" i="15"/>
  <c r="BW23" i="15"/>
  <c r="BW115" i="15" s="1"/>
  <c r="U108" i="15"/>
  <c r="U107" i="15" s="1"/>
  <c r="AB103" i="14"/>
  <c r="AB102" i="14" s="1"/>
  <c r="N103" i="14"/>
  <c r="N20" i="14"/>
  <c r="BM24" i="13"/>
  <c r="BM116" i="13" s="1"/>
  <c r="G62" i="16"/>
  <c r="G26" i="16" s="1"/>
  <c r="BF62" i="16"/>
  <c r="F68" i="16"/>
  <c r="BE68" i="16"/>
  <c r="H24" i="16"/>
  <c r="BF26" i="16"/>
  <c r="AT23" i="15"/>
  <c r="AT115" i="15" s="1"/>
  <c r="BA115" i="15"/>
  <c r="CB25" i="15"/>
  <c r="CA25" i="15" s="1"/>
  <c r="BZ25" i="15" s="1"/>
  <c r="BY25" i="15" s="1"/>
  <c r="BX25" i="15" s="1"/>
  <c r="BW25" i="15" s="1"/>
  <c r="BO24" i="13"/>
  <c r="BP116" i="13"/>
  <c r="S93" i="12"/>
  <c r="T93" i="12"/>
  <c r="T71" i="12"/>
  <c r="S71" i="12"/>
  <c r="U71" i="12"/>
  <c r="T77" i="12"/>
  <c r="S77" i="12"/>
  <c r="U77" i="12"/>
  <c r="T85" i="12"/>
  <c r="S85" i="12"/>
  <c r="R24" i="11"/>
  <c r="O25" i="11"/>
  <c r="J24" i="11"/>
  <c r="P24" i="11" s="1"/>
  <c r="AY24" i="13"/>
  <c r="BE24" i="13"/>
  <c r="BE116" i="13" s="1"/>
  <c r="AQ23" i="15"/>
  <c r="AQ115" i="15" s="1"/>
  <c r="BJ24" i="13"/>
  <c r="BJ116" i="13" s="1"/>
  <c r="Z20" i="14"/>
  <c r="K20" i="14" s="1"/>
  <c r="S25" i="14"/>
  <c r="J25" i="14"/>
  <c r="BG24" i="13"/>
  <c r="BG116" i="13" s="1"/>
  <c r="AS25" i="13"/>
  <c r="AR24" i="15"/>
  <c r="AY23" i="15"/>
  <c r="AY115" i="15" s="1"/>
  <c r="BD26" i="13"/>
  <c r="AP26" i="13" s="1"/>
  <c r="AA72" i="17"/>
  <c r="Z72" i="17" s="1"/>
  <c r="Y72" i="17" s="1"/>
  <c r="X72" i="17" s="1"/>
  <c r="AB71" i="17"/>
  <c r="T19" i="14"/>
  <c r="T20" i="14"/>
  <c r="J20" i="14" s="1"/>
  <c r="AH19" i="14" s="1"/>
  <c r="BA102" i="16"/>
  <c r="AZ102" i="16" s="1"/>
  <c r="AY102" i="16" s="1"/>
  <c r="AX102" i="16" s="1"/>
  <c r="AW102" i="16" s="1"/>
  <c r="AV102" i="16" s="1"/>
  <c r="AU102" i="16" s="1"/>
  <c r="AT102" i="16" s="1"/>
  <c r="AS102" i="16" s="1"/>
  <c r="AR102" i="16" s="1"/>
  <c r="AQ102" i="16" s="1"/>
  <c r="AP102" i="16" s="1"/>
  <c r="AO102" i="16" s="1"/>
  <c r="AN102" i="16" s="1"/>
  <c r="AM102" i="16" s="1"/>
  <c r="AL102" i="16" s="1"/>
  <c r="AK102" i="16" s="1"/>
  <c r="AJ102" i="16" s="1"/>
  <c r="AI102" i="16" s="1"/>
  <c r="AH102" i="16" s="1"/>
  <c r="AG102" i="16" s="1"/>
  <c r="AF102" i="16" s="1"/>
  <c r="AE102" i="16" s="1"/>
  <c r="AD102" i="16" s="1"/>
  <c r="AC102" i="16" s="1"/>
  <c r="AB102" i="16" s="1"/>
  <c r="AA102" i="16" s="1"/>
  <c r="Z102" i="16" s="1"/>
  <c r="Y102" i="16" s="1"/>
  <c r="X102" i="16" s="1"/>
  <c r="W102" i="16" s="1"/>
  <c r="V102" i="16" s="1"/>
  <c r="U102" i="16" s="1"/>
  <c r="T102" i="16" s="1"/>
  <c r="S102" i="16" s="1"/>
  <c r="R102" i="16" s="1"/>
  <c r="Q102" i="16" s="1"/>
  <c r="P102" i="16" s="1"/>
  <c r="O102" i="16" s="1"/>
  <c r="N102" i="16" s="1"/>
  <c r="M102" i="16" s="1"/>
  <c r="L102" i="16" s="1"/>
  <c r="K102" i="16" s="1"/>
  <c r="J102" i="16" s="1"/>
  <c r="I102" i="16" s="1"/>
  <c r="X19" i="14"/>
  <c r="BF25" i="13"/>
  <c r="AR31" i="13"/>
  <c r="Y32" i="18" s="1"/>
  <c r="T103" i="14"/>
  <c r="T102" i="14" s="1"/>
  <c r="K103" i="14"/>
  <c r="V23" i="11"/>
  <c r="M20" i="14"/>
  <c r="L20" i="14" s="1"/>
  <c r="CC106" i="15"/>
  <c r="CB106" i="15" s="1"/>
  <c r="CA106" i="15" s="1"/>
  <c r="BZ106" i="15" s="1"/>
  <c r="BY106" i="15" s="1"/>
  <c r="BX106" i="15" s="1"/>
  <c r="BW106" i="15" s="1"/>
  <c r="AL29" i="15"/>
  <c r="AB25" i="15"/>
  <c r="AA25" i="15" s="1"/>
  <c r="Z25" i="15" s="1"/>
  <c r="Y25" i="15" s="1"/>
  <c r="AS23" i="15"/>
  <c r="AS115" i="15" s="1"/>
  <c r="AP25" i="13"/>
  <c r="Z30" i="17"/>
  <c r="I76" i="12"/>
  <c r="I84" i="12"/>
  <c r="F22" i="11"/>
  <c r="E22" i="11"/>
  <c r="L92" i="10"/>
  <c r="K92" i="10"/>
  <c r="J92" i="10"/>
  <c r="I92" i="10"/>
  <c r="J110" i="12" s="1"/>
  <c r="L91" i="10"/>
  <c r="L88" i="10" s="1"/>
  <c r="K91" i="10"/>
  <c r="I91" i="10"/>
  <c r="K90" i="10"/>
  <c r="I90" i="10"/>
  <c r="K89" i="10"/>
  <c r="L107" i="12" s="1"/>
  <c r="H89" i="10"/>
  <c r="I89" i="10"/>
  <c r="J107" i="12" s="1"/>
  <c r="P86" i="10"/>
  <c r="O88" i="10"/>
  <c r="N88" i="10"/>
  <c r="M88" i="10"/>
  <c r="G86" i="10"/>
  <c r="G28" i="10" s="1"/>
  <c r="AZ31" i="18" s="1"/>
  <c r="L87" i="10"/>
  <c r="J87" i="10"/>
  <c r="S85" i="10"/>
  <c r="R85" i="10"/>
  <c r="Q85" i="10"/>
  <c r="J84" i="10"/>
  <c r="H84" i="10" s="1"/>
  <c r="J83" i="10"/>
  <c r="Q82" i="10"/>
  <c r="Q26" i="10" s="1"/>
  <c r="P82" i="10"/>
  <c r="P26" i="10" s="1"/>
  <c r="O82" i="10"/>
  <c r="N82" i="10"/>
  <c r="M82" i="10"/>
  <c r="L82" i="10"/>
  <c r="K82" i="10"/>
  <c r="I82" i="10"/>
  <c r="F82" i="10"/>
  <c r="F26" i="10" s="1"/>
  <c r="D82" i="10"/>
  <c r="D26" i="10" s="1"/>
  <c r="R81" i="10"/>
  <c r="Q81" i="10"/>
  <c r="R80" i="10"/>
  <c r="Q80" i="10"/>
  <c r="P79" i="10"/>
  <c r="O79" i="10"/>
  <c r="N79" i="10"/>
  <c r="M79" i="10"/>
  <c r="L79" i="10"/>
  <c r="K79" i="10"/>
  <c r="J79" i="10"/>
  <c r="I79" i="10"/>
  <c r="H79" i="10"/>
  <c r="H25" i="10" s="1"/>
  <c r="G79" i="10"/>
  <c r="S78" i="10"/>
  <c r="R78" i="10"/>
  <c r="Q78" i="10"/>
  <c r="S75" i="10"/>
  <c r="R75" i="10"/>
  <c r="Q75" i="10"/>
  <c r="S74" i="10"/>
  <c r="R74" i="10"/>
  <c r="Q74" i="10"/>
  <c r="S73" i="10"/>
  <c r="R73" i="10"/>
  <c r="Q73" i="10"/>
  <c r="S72" i="10"/>
  <c r="R72" i="10"/>
  <c r="Q72" i="10"/>
  <c r="S71" i="10"/>
  <c r="R71" i="10"/>
  <c r="Q71" i="10"/>
  <c r="S70" i="10"/>
  <c r="R70" i="10"/>
  <c r="Q70" i="10"/>
  <c r="S69" i="10"/>
  <c r="R69" i="10"/>
  <c r="Q69" i="10"/>
  <c r="R66" i="10"/>
  <c r="Q66" i="10"/>
  <c r="J65" i="10"/>
  <c r="H63" i="10"/>
  <c r="BA77" i="18" s="1"/>
  <c r="H62" i="10"/>
  <c r="N59" i="10"/>
  <c r="J58" i="10"/>
  <c r="L75" i="17" s="1"/>
  <c r="J57" i="10"/>
  <c r="H57" i="10" s="1"/>
  <c r="E57" i="10"/>
  <c r="F57" i="10" s="1"/>
  <c r="P56" i="10"/>
  <c r="P55" i="10" s="1"/>
  <c r="O56" i="10"/>
  <c r="O55" i="10" s="1"/>
  <c r="N56" i="10"/>
  <c r="N55" i="10" s="1"/>
  <c r="M56" i="10"/>
  <c r="M55" i="10" s="1"/>
  <c r="L56" i="10"/>
  <c r="L55" i="10" s="1"/>
  <c r="K56" i="10"/>
  <c r="K55" i="10" s="1"/>
  <c r="I56" i="10"/>
  <c r="I55" i="10" s="1"/>
  <c r="L34" i="10"/>
  <c r="H34" i="10" s="1"/>
  <c r="L32" i="10"/>
  <c r="M31" i="10"/>
  <c r="K31" i="10"/>
  <c r="I31" i="10"/>
  <c r="G30" i="10"/>
  <c r="P27" i="10"/>
  <c r="O27" i="10"/>
  <c r="N27" i="10"/>
  <c r="M27" i="10"/>
  <c r="L27" i="10"/>
  <c r="K27" i="10"/>
  <c r="J27" i="10"/>
  <c r="I27" i="10"/>
  <c r="H27" i="10"/>
  <c r="BA30" i="18" s="1"/>
  <c r="G27" i="10"/>
  <c r="AZ30" i="18" s="1"/>
  <c r="BA37" i="18" l="1"/>
  <c r="R34" i="10"/>
  <c r="L79" i="11"/>
  <c r="T79" i="11" s="1"/>
  <c r="S62" i="10"/>
  <c r="H73" i="11"/>
  <c r="D73" i="11" s="1"/>
  <c r="G29" i="10"/>
  <c r="AZ33" i="18"/>
  <c r="G25" i="10"/>
  <c r="AZ28" i="18" s="1"/>
  <c r="AZ82" i="18"/>
  <c r="AQ26" i="13"/>
  <c r="M106" i="12"/>
  <c r="S107" i="17"/>
  <c r="N106" i="17"/>
  <c r="K105" i="12"/>
  <c r="AN106" i="17" s="1"/>
  <c r="H87" i="10"/>
  <c r="S87" i="10" s="1"/>
  <c r="X107" i="17"/>
  <c r="X105" i="17" s="1"/>
  <c r="O106" i="12"/>
  <c r="O104" i="12" s="1"/>
  <c r="O103" i="12" s="1"/>
  <c r="O28" i="12" s="1"/>
  <c r="AY116" i="13"/>
  <c r="N105" i="12"/>
  <c r="N104" i="12" s="1"/>
  <c r="N103" i="12" s="1"/>
  <c r="S106" i="17"/>
  <c r="M105" i="12"/>
  <c r="AS106" i="17" s="1"/>
  <c r="H92" i="10"/>
  <c r="N111" i="17"/>
  <c r="J111" i="17" s="1"/>
  <c r="K110" i="12"/>
  <c r="AN111" i="17" s="1"/>
  <c r="AJ111" i="17" s="1"/>
  <c r="E56" i="10"/>
  <c r="E55" i="10" s="1"/>
  <c r="E54" i="10" s="1"/>
  <c r="E24" i="10" s="1"/>
  <c r="E22" i="10" s="1"/>
  <c r="E93" i="10" s="1"/>
  <c r="AP32" i="15"/>
  <c r="BY32" i="15" s="1"/>
  <c r="BX32" i="15" s="1"/>
  <c r="BW32" i="15" s="1"/>
  <c r="S110" i="17"/>
  <c r="O110" i="17" s="1"/>
  <c r="M109" i="12"/>
  <c r="AS110" i="17" s="1"/>
  <c r="BC110" i="17" s="1"/>
  <c r="S111" i="17"/>
  <c r="O111" i="17" s="1"/>
  <c r="M110" i="12"/>
  <c r="AS111" i="17" s="1"/>
  <c r="AO111" i="17" s="1"/>
  <c r="AW30" i="15"/>
  <c r="AP31" i="15"/>
  <c r="BY31" i="15" s="1"/>
  <c r="BX31" i="15" s="1"/>
  <c r="BW31" i="15" s="1"/>
  <c r="L31" i="10"/>
  <c r="H32" i="10"/>
  <c r="J60" i="10"/>
  <c r="H65" i="10"/>
  <c r="H60" i="10" s="1"/>
  <c r="L101" i="17"/>
  <c r="G101" i="17" s="1"/>
  <c r="H83" i="10"/>
  <c r="BA76" i="18"/>
  <c r="H102" i="16"/>
  <c r="CC23" i="15"/>
  <c r="CC115" i="15" s="1"/>
  <c r="BA93" i="18"/>
  <c r="S89" i="10"/>
  <c r="BA104" i="18"/>
  <c r="AZ104" i="18" s="1"/>
  <c r="S64" i="10"/>
  <c r="BA78" i="18"/>
  <c r="S34" i="10"/>
  <c r="L34" i="11"/>
  <c r="L86" i="10"/>
  <c r="AD108" i="15"/>
  <c r="AD107" i="15" s="1"/>
  <c r="T108" i="15"/>
  <c r="T107" i="15" s="1"/>
  <c r="AN115" i="15"/>
  <c r="M103" i="14"/>
  <c r="H90" i="10"/>
  <c r="J56" i="10"/>
  <c r="J55" i="10" s="1"/>
  <c r="BZ23" i="15"/>
  <c r="BZ115" i="15" s="1"/>
  <c r="BE26" i="16"/>
  <c r="G24" i="16"/>
  <c r="G102" i="16" s="1"/>
  <c r="BF24" i="16"/>
  <c r="BF102" i="16" s="1"/>
  <c r="E68" i="16"/>
  <c r="BC68" i="16" s="1"/>
  <c r="BD68" i="16"/>
  <c r="F62" i="16"/>
  <c r="BE62" i="16"/>
  <c r="AK29" i="15"/>
  <c r="AK23" i="15" s="1"/>
  <c r="AK115" i="15" s="1"/>
  <c r="BN24" i="13"/>
  <c r="BN116" i="13" s="1"/>
  <c r="BO116" i="13"/>
  <c r="S84" i="12"/>
  <c r="T84" i="12"/>
  <c r="S76" i="12"/>
  <c r="U76" i="12"/>
  <c r="T76" i="12"/>
  <c r="S63" i="10"/>
  <c r="AA71" i="17"/>
  <c r="Z71" i="17" s="1"/>
  <c r="Y71" i="17" s="1"/>
  <c r="M59" i="10"/>
  <c r="D65" i="10"/>
  <c r="O26" i="10"/>
  <c r="N26" i="10" s="1"/>
  <c r="M26" i="10" s="1"/>
  <c r="L26" i="10" s="1"/>
  <c r="K26" i="10" s="1"/>
  <c r="J30" i="10"/>
  <c r="J29" i="10" s="1"/>
  <c r="J23" i="10" s="1"/>
  <c r="I88" i="10"/>
  <c r="L102" i="17"/>
  <c r="L107" i="11"/>
  <c r="I107" i="11" s="1"/>
  <c r="O107" i="11" s="1"/>
  <c r="E111" i="11"/>
  <c r="H33" i="10"/>
  <c r="BC42" i="13"/>
  <c r="BC33" i="13" s="1"/>
  <c r="M31" i="12"/>
  <c r="M30" i="12" s="1"/>
  <c r="M29" i="12" s="1"/>
  <c r="M23" i="12" s="1"/>
  <c r="J75" i="17"/>
  <c r="G75" i="17"/>
  <c r="E75" i="17" s="1"/>
  <c r="L59" i="10"/>
  <c r="K59" i="10" s="1"/>
  <c r="J101" i="17"/>
  <c r="E101" i="17" s="1"/>
  <c r="L110" i="12"/>
  <c r="CB23" i="15"/>
  <c r="CB115" i="15" s="1"/>
  <c r="AL23" i="15"/>
  <c r="AL115" i="15" s="1"/>
  <c r="J103" i="14"/>
  <c r="R25" i="14"/>
  <c r="N25" i="14"/>
  <c r="S19" i="14"/>
  <c r="H38" i="10"/>
  <c r="K39" i="12"/>
  <c r="I39" i="12" s="1"/>
  <c r="I31" i="12" s="1"/>
  <c r="U31" i="12" s="1"/>
  <c r="L81" i="11"/>
  <c r="L78" i="17"/>
  <c r="AJ29" i="15"/>
  <c r="AI29" i="15" s="1"/>
  <c r="AH29" i="15" s="1"/>
  <c r="J88" i="10"/>
  <c r="O109" i="17"/>
  <c r="AO109" i="17"/>
  <c r="L108" i="12"/>
  <c r="F111" i="11"/>
  <c r="BD24" i="13"/>
  <c r="BD116" i="13" s="1"/>
  <c r="AR25" i="13"/>
  <c r="Y26" i="18" s="1"/>
  <c r="BF24" i="13"/>
  <c r="BF116" i="13" s="1"/>
  <c r="W72" i="17"/>
  <c r="X71" i="17"/>
  <c r="AR23" i="15"/>
  <c r="AR115" i="15" s="1"/>
  <c r="R31" i="17"/>
  <c r="R30" i="17" s="1"/>
  <c r="O37" i="17"/>
  <c r="BA71" i="18"/>
  <c r="L74" i="17"/>
  <c r="L46" i="11"/>
  <c r="H58" i="10"/>
  <c r="H56" i="10" s="1"/>
  <c r="L78" i="11"/>
  <c r="S79" i="10"/>
  <c r="J82" i="10"/>
  <c r="J26" i="10" s="1"/>
  <c r="I26" i="10" s="1"/>
  <c r="K88" i="10"/>
  <c r="H91" i="10"/>
  <c r="L109" i="12"/>
  <c r="X25" i="15"/>
  <c r="W25" i="15" s="1"/>
  <c r="AH24" i="14"/>
  <c r="AG24" i="14" s="1"/>
  <c r="AF24" i="14" s="1"/>
  <c r="Z24" i="17"/>
  <c r="BC24" i="15"/>
  <c r="BD23" i="15"/>
  <c r="O86" i="10"/>
  <c r="D34" i="10"/>
  <c r="Q34" i="10" s="1"/>
  <c r="R27" i="10"/>
  <c r="Q27" i="10" s="1"/>
  <c r="I30" i="10"/>
  <c r="I29" i="10" s="1"/>
  <c r="I23" i="10" s="1"/>
  <c r="R64" i="10"/>
  <c r="R79" i="10"/>
  <c r="O59" i="10"/>
  <c r="L80" i="11"/>
  <c r="U80" i="11" s="1"/>
  <c r="R62" i="10"/>
  <c r="I70" i="12"/>
  <c r="S27" i="10"/>
  <c r="Q62" i="10"/>
  <c r="Q60" i="10" s="1"/>
  <c r="R63" i="10"/>
  <c r="Q79" i="10"/>
  <c r="Q25" i="10" s="1"/>
  <c r="P25" i="10" s="1"/>
  <c r="O25" i="10" s="1"/>
  <c r="N25" i="10" s="1"/>
  <c r="M25" i="10" s="1"/>
  <c r="L25" i="10" s="1"/>
  <c r="K25" i="10" s="1"/>
  <c r="J25" i="10" s="1"/>
  <c r="I25" i="10" s="1"/>
  <c r="R89" i="10"/>
  <c r="BA41" i="18" l="1"/>
  <c r="R38" i="10"/>
  <c r="BA36" i="18"/>
  <c r="R33" i="10"/>
  <c r="H31" i="10"/>
  <c r="BA34" i="18" s="1"/>
  <c r="R32" i="10"/>
  <c r="U79" i="11"/>
  <c r="BC106" i="17"/>
  <c r="AI106" i="17" s="1"/>
  <c r="I79" i="11"/>
  <c r="O79" i="11" s="1"/>
  <c r="L100" i="17"/>
  <c r="L27" i="17" s="1"/>
  <c r="R25" i="10"/>
  <c r="G23" i="10"/>
  <c r="AZ32" i="18"/>
  <c r="T107" i="17"/>
  <c r="H88" i="10"/>
  <c r="H86" i="10" s="1"/>
  <c r="N107" i="17"/>
  <c r="K106" i="12"/>
  <c r="BA72" i="18"/>
  <c r="H74" i="11"/>
  <c r="BC111" i="17"/>
  <c r="AY111" i="17" s="1"/>
  <c r="N28" i="12"/>
  <c r="N22" i="12" s="1"/>
  <c r="O22" i="12"/>
  <c r="F65" i="10"/>
  <c r="F60" i="10" s="1"/>
  <c r="F59" i="10" s="1"/>
  <c r="D60" i="10"/>
  <c r="D59" i="10" s="1"/>
  <c r="AO110" i="17"/>
  <c r="S31" i="10"/>
  <c r="AW24" i="15"/>
  <c r="AP30" i="15"/>
  <c r="BY30" i="15" s="1"/>
  <c r="BX30" i="15" s="1"/>
  <c r="BW30" i="15" s="1"/>
  <c r="BD115" i="15"/>
  <c r="BC32" i="13"/>
  <c r="BC31" i="13" s="1"/>
  <c r="BC25" i="13" s="1"/>
  <c r="R87" i="10"/>
  <c r="L105" i="11"/>
  <c r="U105" i="11" s="1"/>
  <c r="BA102" i="18"/>
  <c r="AZ102" i="18" s="1"/>
  <c r="H55" i="10"/>
  <c r="S91" i="10"/>
  <c r="BA106" i="18"/>
  <c r="AZ106" i="18" s="1"/>
  <c r="S83" i="10"/>
  <c r="BA97" i="18"/>
  <c r="S65" i="10"/>
  <c r="BA79" i="18"/>
  <c r="S92" i="10"/>
  <c r="BA107" i="18"/>
  <c r="AZ107" i="18" s="1"/>
  <c r="S90" i="10"/>
  <c r="BA105" i="18"/>
  <c r="AZ105" i="18" s="1"/>
  <c r="X104" i="17"/>
  <c r="T104" i="17" s="1"/>
  <c r="T105" i="17"/>
  <c r="BA28" i="18"/>
  <c r="S25" i="10"/>
  <c r="BA44" i="18"/>
  <c r="S84" i="10"/>
  <c r="BA98" i="18"/>
  <c r="L32" i="11"/>
  <c r="BA35" i="18"/>
  <c r="S38" i="10"/>
  <c r="L38" i="11"/>
  <c r="S33" i="10"/>
  <c r="L33" i="11"/>
  <c r="U33" i="11" s="1"/>
  <c r="AC108" i="15"/>
  <c r="AC107" i="15" s="1"/>
  <c r="N86" i="10"/>
  <c r="S108" i="15"/>
  <c r="S107" i="15" s="1"/>
  <c r="U78" i="11"/>
  <c r="R92" i="10"/>
  <c r="L108" i="11"/>
  <c r="U108" i="11" s="1"/>
  <c r="R90" i="10"/>
  <c r="T107" i="11"/>
  <c r="U107" i="11"/>
  <c r="I34" i="11"/>
  <c r="O34" i="11" s="1"/>
  <c r="U34" i="11"/>
  <c r="T81" i="11"/>
  <c r="U81" i="11"/>
  <c r="I35" i="11"/>
  <c r="O35" i="11" s="1"/>
  <c r="U35" i="11"/>
  <c r="S57" i="10"/>
  <c r="E62" i="16"/>
  <c r="BC62" i="16" s="1"/>
  <c r="BD62" i="16"/>
  <c r="BE24" i="16"/>
  <c r="BE102" i="16" s="1"/>
  <c r="F26" i="16"/>
  <c r="S70" i="12"/>
  <c r="U70" i="12"/>
  <c r="T70" i="12"/>
  <c r="S58" i="10"/>
  <c r="R68" i="10"/>
  <c r="R91" i="10"/>
  <c r="Q68" i="10"/>
  <c r="I81" i="11"/>
  <c r="O81" i="11" s="1"/>
  <c r="L110" i="11"/>
  <c r="U110" i="11" s="1"/>
  <c r="D32" i="10"/>
  <c r="Q32" i="10" s="1"/>
  <c r="S32" i="10"/>
  <c r="J59" i="10"/>
  <c r="I59" i="10" s="1"/>
  <c r="R84" i="10"/>
  <c r="D38" i="10"/>
  <c r="Q38" i="10" s="1"/>
  <c r="K86" i="10"/>
  <c r="R65" i="10"/>
  <c r="R60" i="10" s="1"/>
  <c r="R58" i="10"/>
  <c r="D58" i="10"/>
  <c r="T78" i="11"/>
  <c r="AJ23" i="15"/>
  <c r="V84" i="11"/>
  <c r="I78" i="11"/>
  <c r="J109" i="12"/>
  <c r="L100" i="11"/>
  <c r="H82" i="10"/>
  <c r="H26" i="10" s="1"/>
  <c r="L73" i="11"/>
  <c r="U73" i="11" s="1"/>
  <c r="O108" i="17"/>
  <c r="O107" i="17"/>
  <c r="O106" i="17"/>
  <c r="L82" i="11"/>
  <c r="L77" i="11" s="1"/>
  <c r="G100" i="17"/>
  <c r="J100" i="17"/>
  <c r="E100" i="17" s="1"/>
  <c r="D33" i="10"/>
  <c r="Q33" i="10" s="1"/>
  <c r="S77" i="10"/>
  <c r="H76" i="10"/>
  <c r="BA90" i="18" s="1"/>
  <c r="R83" i="10"/>
  <c r="R77" i="10"/>
  <c r="S68" i="10"/>
  <c r="AE24" i="14"/>
  <c r="AD24" i="14" s="1"/>
  <c r="AF18" i="14"/>
  <c r="V25" i="15"/>
  <c r="L109" i="11"/>
  <c r="U109" i="11" s="1"/>
  <c r="J74" i="17"/>
  <c r="J73" i="17" s="1"/>
  <c r="L73" i="17"/>
  <c r="L72" i="17" s="1"/>
  <c r="G74" i="17"/>
  <c r="H31" i="17"/>
  <c r="O31" i="17"/>
  <c r="AO108" i="17"/>
  <c r="AS107" i="17"/>
  <c r="AO107" i="17" s="1"/>
  <c r="I111" i="17"/>
  <c r="E111" i="17"/>
  <c r="AO106" i="17"/>
  <c r="AG29" i="15"/>
  <c r="AF29" i="15" s="1"/>
  <c r="AE29" i="15" s="1"/>
  <c r="AD29" i="15" s="1"/>
  <c r="AH23" i="15"/>
  <c r="AH115" i="15" s="1"/>
  <c r="J83" i="17"/>
  <c r="E83" i="17" s="1"/>
  <c r="G83" i="17"/>
  <c r="K31" i="12"/>
  <c r="AV41" i="13"/>
  <c r="AV33" i="13" s="1"/>
  <c r="AO33" i="13" s="1"/>
  <c r="BY33" i="13" s="1"/>
  <c r="J102" i="14"/>
  <c r="AO42" i="13"/>
  <c r="BY42" i="13" s="1"/>
  <c r="L74" i="11"/>
  <c r="U74" i="11" s="1"/>
  <c r="Q25" i="14"/>
  <c r="M25" i="14"/>
  <c r="J108" i="12"/>
  <c r="AI110" i="17"/>
  <c r="AJ110" i="17"/>
  <c r="R57" i="10"/>
  <c r="AI108" i="17"/>
  <c r="AN107" i="17"/>
  <c r="AJ108" i="17"/>
  <c r="V72" i="17"/>
  <c r="W71" i="17"/>
  <c r="AP24" i="13"/>
  <c r="AP116" i="13" s="1"/>
  <c r="BW115" i="13"/>
  <c r="AO115" i="13" s="1"/>
  <c r="BY115" i="13" s="1"/>
  <c r="J109" i="17"/>
  <c r="E109" i="17" s="1"/>
  <c r="I109" i="17"/>
  <c r="J106" i="17"/>
  <c r="I106" i="17"/>
  <c r="AH18" i="14"/>
  <c r="AG18" i="14" s="1"/>
  <c r="J110" i="17"/>
  <c r="E110" i="17" s="1"/>
  <c r="I110" i="17"/>
  <c r="L101" i="11"/>
  <c r="K30" i="17"/>
  <c r="K24" i="17" s="1"/>
  <c r="AK32" i="17"/>
  <c r="J37" i="17"/>
  <c r="J32" i="17" s="1"/>
  <c r="J105" i="12"/>
  <c r="J102" i="17"/>
  <c r="E102" i="17" s="1"/>
  <c r="G102" i="17"/>
  <c r="Q77" i="10"/>
  <c r="J108" i="17"/>
  <c r="I108" i="17"/>
  <c r="CA23" i="15"/>
  <c r="CA115" i="15" s="1"/>
  <c r="L105" i="12"/>
  <c r="R19" i="14"/>
  <c r="N19" i="14"/>
  <c r="M102" i="14"/>
  <c r="W24" i="14"/>
  <c r="AJ109" i="17"/>
  <c r="AI109" i="17"/>
  <c r="AJ106" i="17"/>
  <c r="W30" i="17"/>
  <c r="AO24" i="15"/>
  <c r="BC23" i="15"/>
  <c r="S67" i="10"/>
  <c r="N107" i="11"/>
  <c r="I24" i="12"/>
  <c r="T80" i="11"/>
  <c r="I80" i="11"/>
  <c r="O80" i="11" s="1"/>
  <c r="AI111" i="17" l="1"/>
  <c r="N79" i="11"/>
  <c r="R31" i="10"/>
  <c r="Q31" i="10"/>
  <c r="AZ26" i="18"/>
  <c r="K30" i="12"/>
  <c r="AV36" i="13"/>
  <c r="AO36" i="13" s="1"/>
  <c r="BY36" i="13" s="1"/>
  <c r="L31" i="11"/>
  <c r="L30" i="11" s="1"/>
  <c r="L29" i="11" s="1"/>
  <c r="L23" i="11" s="1"/>
  <c r="E82" i="12"/>
  <c r="E77" i="12" s="1"/>
  <c r="E70" i="12" s="1"/>
  <c r="E24" i="12" s="1"/>
  <c r="I32" i="11"/>
  <c r="O32" i="11" s="1"/>
  <c r="U32" i="11"/>
  <c r="D74" i="11"/>
  <c r="H72" i="11"/>
  <c r="F58" i="10"/>
  <c r="F56" i="10" s="1"/>
  <c r="F55" i="10" s="1"/>
  <c r="F54" i="10" s="1"/>
  <c r="F24" i="10" s="1"/>
  <c r="F22" i="10" s="1"/>
  <c r="F93" i="10" s="1"/>
  <c r="D56" i="10"/>
  <c r="D55" i="10" s="1"/>
  <c r="D54" i="10" s="1"/>
  <c r="D24" i="10" s="1"/>
  <c r="D22" i="10" s="1"/>
  <c r="D93" i="10" s="1"/>
  <c r="AN105" i="17"/>
  <c r="AN104" i="17" s="1"/>
  <c r="BC107" i="17"/>
  <c r="BC105" i="17" s="1"/>
  <c r="BC104" i="17" s="1"/>
  <c r="I105" i="11"/>
  <c r="O105" i="11" s="1"/>
  <c r="T105" i="11"/>
  <c r="AW23" i="15"/>
  <c r="AP24" i="15"/>
  <c r="BY24" i="15" s="1"/>
  <c r="S107" i="12"/>
  <c r="I106" i="12"/>
  <c r="S88" i="10"/>
  <c r="BA103" i="18"/>
  <c r="AZ103" i="18" s="1"/>
  <c r="S60" i="10"/>
  <c r="BA75" i="18"/>
  <c r="S82" i="10"/>
  <c r="BA96" i="18"/>
  <c r="S56" i="10"/>
  <c r="BA70" i="18"/>
  <c r="AB108" i="15"/>
  <c r="AB107" i="15" s="1"/>
  <c r="M86" i="10"/>
  <c r="R108" i="15"/>
  <c r="R107" i="15" s="1"/>
  <c r="J86" i="10"/>
  <c r="O78" i="11"/>
  <c r="T108" i="11"/>
  <c r="R67" i="10"/>
  <c r="I108" i="11"/>
  <c r="O108" i="11" s="1"/>
  <c r="Q67" i="10"/>
  <c r="E106" i="17"/>
  <c r="I46" i="11"/>
  <c r="O46" i="11" s="1"/>
  <c r="U46" i="11"/>
  <c r="T82" i="11"/>
  <c r="U82" i="11"/>
  <c r="T100" i="11"/>
  <c r="U100" i="11"/>
  <c r="U101" i="11"/>
  <c r="T101" i="11"/>
  <c r="E26" i="16"/>
  <c r="BC26" i="16" s="1"/>
  <c r="BD26" i="16"/>
  <c r="F24" i="16"/>
  <c r="AI23" i="15"/>
  <c r="AI115" i="15" s="1"/>
  <c r="AJ115" i="15"/>
  <c r="AO23" i="15"/>
  <c r="AO115" i="15" s="1"/>
  <c r="BC115" i="15"/>
  <c r="S24" i="12"/>
  <c r="U24" i="12"/>
  <c r="T24" i="12"/>
  <c r="T105" i="12"/>
  <c r="S105" i="12"/>
  <c r="S110" i="12"/>
  <c r="T110" i="12"/>
  <c r="S108" i="12"/>
  <c r="T108" i="12"/>
  <c r="U39" i="12"/>
  <c r="S39" i="12"/>
  <c r="T39" i="12"/>
  <c r="T109" i="12"/>
  <c r="S109" i="12"/>
  <c r="T107" i="12"/>
  <c r="N81" i="11"/>
  <c r="N78" i="11"/>
  <c r="R82" i="10"/>
  <c r="E108" i="17"/>
  <c r="L106" i="11"/>
  <c r="T110" i="11"/>
  <c r="I110" i="11"/>
  <c r="O110" i="11" s="1"/>
  <c r="S76" i="10"/>
  <c r="BX24" i="15"/>
  <c r="BW24" i="15" s="1"/>
  <c r="AG23" i="15"/>
  <c r="H30" i="10"/>
  <c r="H29" i="10" s="1"/>
  <c r="Q76" i="10"/>
  <c r="L76" i="10" s="1"/>
  <c r="K76" i="10" s="1"/>
  <c r="J76" i="10" s="1"/>
  <c r="I76" i="10" s="1"/>
  <c r="M70" i="11"/>
  <c r="M24" i="11" s="1"/>
  <c r="R76" i="10"/>
  <c r="J106" i="12"/>
  <c r="N31" i="17"/>
  <c r="J31" i="17" s="1"/>
  <c r="E31" i="17" s="1"/>
  <c r="O30" i="17"/>
  <c r="L106" i="12"/>
  <c r="L104" i="12" s="1"/>
  <c r="L103" i="12" s="1"/>
  <c r="M104" i="12"/>
  <c r="M103" i="12" s="1"/>
  <c r="F31" i="17"/>
  <c r="Q19" i="14"/>
  <c r="L25" i="14"/>
  <c r="AO41" i="13"/>
  <c r="BY41" i="13" s="1"/>
  <c r="L102" i="14"/>
  <c r="H59" i="10"/>
  <c r="R59" i="10" s="1"/>
  <c r="BW110" i="13"/>
  <c r="AO110" i="13" s="1"/>
  <c r="BY110" i="13" s="1"/>
  <c r="AF37" i="17"/>
  <c r="AJ37" i="17"/>
  <c r="AE37" i="17" s="1"/>
  <c r="I74" i="11"/>
  <c r="S24" i="14"/>
  <c r="N102" i="14"/>
  <c r="AC29" i="15"/>
  <c r="AD23" i="15"/>
  <c r="AD115" i="15" s="1"/>
  <c r="L72" i="11"/>
  <c r="U72" i="11" s="1"/>
  <c r="I73" i="11"/>
  <c r="O73" i="11" s="1"/>
  <c r="K104" i="12"/>
  <c r="K103" i="12" s="1"/>
  <c r="G78" i="17"/>
  <c r="L77" i="17"/>
  <c r="L71" i="17" s="1"/>
  <c r="J78" i="17"/>
  <c r="E78" i="17" s="1"/>
  <c r="BC77" i="17" s="1"/>
  <c r="BC71" i="17" s="1"/>
  <c r="AS105" i="17"/>
  <c r="AS104" i="17" s="1"/>
  <c r="G73" i="17"/>
  <c r="E74" i="17"/>
  <c r="E73" i="17" s="1"/>
  <c r="U25" i="15"/>
  <c r="I33" i="11"/>
  <c r="O33" i="11" s="1"/>
  <c r="BW114" i="13"/>
  <c r="AO114" i="13" s="1"/>
  <c r="BY114" i="13" s="1"/>
  <c r="V24" i="14"/>
  <c r="W18" i="14"/>
  <c r="E37" i="17"/>
  <c r="BA69" i="18"/>
  <c r="R56" i="10"/>
  <c r="H28" i="10"/>
  <c r="R88" i="10"/>
  <c r="AE18" i="14"/>
  <c r="J27" i="17"/>
  <c r="G27" i="17"/>
  <c r="F27" i="17" s="1"/>
  <c r="I82" i="11"/>
  <c r="I77" i="11" s="1"/>
  <c r="I107" i="17"/>
  <c r="J107" i="17"/>
  <c r="E107" i="17" s="1"/>
  <c r="T72" i="17"/>
  <c r="S72" i="17" s="1"/>
  <c r="V71" i="17"/>
  <c r="T71" i="17" s="1"/>
  <c r="BA29" i="18"/>
  <c r="R18" i="14"/>
  <c r="M19" i="14"/>
  <c r="I101" i="11"/>
  <c r="AM107" i="17"/>
  <c r="BW112" i="13"/>
  <c r="AO112" i="13"/>
  <c r="BY112" i="13" s="1"/>
  <c r="I109" i="11"/>
  <c r="O109" i="11" s="1"/>
  <c r="T109" i="11"/>
  <c r="AC24" i="14"/>
  <c r="AD18" i="14"/>
  <c r="S105" i="17"/>
  <c r="S104" i="17" s="1"/>
  <c r="I100" i="11"/>
  <c r="L99" i="11"/>
  <c r="U99" i="11" s="1"/>
  <c r="V30" i="17"/>
  <c r="W24" i="17"/>
  <c r="O85" i="11"/>
  <c r="N80" i="11"/>
  <c r="Q30" i="10" l="1"/>
  <c r="Q29" i="10" s="1"/>
  <c r="Q23" i="10" s="1"/>
  <c r="I104" i="12"/>
  <c r="U104" i="12" s="1"/>
  <c r="U106" i="12"/>
  <c r="E22" i="12"/>
  <c r="E111" i="12"/>
  <c r="Q59" i="10"/>
  <c r="K29" i="12"/>
  <c r="AV35" i="13"/>
  <c r="AO35" i="13" s="1"/>
  <c r="BY35" i="13" s="1"/>
  <c r="N105" i="11"/>
  <c r="I31" i="11"/>
  <c r="AI107" i="17"/>
  <c r="O74" i="11"/>
  <c r="BA33" i="18"/>
  <c r="H23" i="10"/>
  <c r="H24" i="11"/>
  <c r="V24" i="11" s="1"/>
  <c r="H70" i="11"/>
  <c r="D70" i="11" s="1"/>
  <c r="D72" i="11"/>
  <c r="V72" i="11"/>
  <c r="AW115" i="15"/>
  <c r="AP23" i="15"/>
  <c r="H54" i="10"/>
  <c r="BA68" i="18" s="1"/>
  <c r="BA101" i="18"/>
  <c r="S59" i="10"/>
  <c r="BA74" i="18"/>
  <c r="BA73" i="18" s="1"/>
  <c r="AA108" i="15"/>
  <c r="AA107" i="15" s="1"/>
  <c r="M28" i="12"/>
  <c r="M22" i="12" s="1"/>
  <c r="Q108" i="15"/>
  <c r="Q107" i="15" s="1"/>
  <c r="I86" i="10"/>
  <c r="AI105" i="17"/>
  <c r="BX23" i="15"/>
  <c r="BX115" i="15" s="1"/>
  <c r="N108" i="11"/>
  <c r="E24" i="16"/>
  <c r="BC24" i="16" s="1"/>
  <c r="BC102" i="16" s="1"/>
  <c r="BD24" i="16"/>
  <c r="BD102" i="16" s="1"/>
  <c r="F102" i="16"/>
  <c r="AF23" i="15"/>
  <c r="AG115" i="15"/>
  <c r="T31" i="12"/>
  <c r="S31" i="12"/>
  <c r="S106" i="12"/>
  <c r="T106" i="12"/>
  <c r="O100" i="11"/>
  <c r="N100" i="11"/>
  <c r="O101" i="11"/>
  <c r="N101" i="11"/>
  <c r="O82" i="11"/>
  <c r="N82" i="11"/>
  <c r="L104" i="11"/>
  <c r="L103" i="11" s="1"/>
  <c r="U106" i="11"/>
  <c r="T106" i="11"/>
  <c r="R106" i="11" s="1"/>
  <c r="P106" i="11" s="1"/>
  <c r="N110" i="11"/>
  <c r="J104" i="12"/>
  <c r="J103" i="12" s="1"/>
  <c r="I31" i="17"/>
  <c r="N30" i="17"/>
  <c r="J30" i="17" s="1"/>
  <c r="S30" i="10"/>
  <c r="R30" i="10"/>
  <c r="AB24" i="14"/>
  <c r="AA24" i="14" s="1"/>
  <c r="L24" i="14" s="1"/>
  <c r="AC18" i="14"/>
  <c r="I106" i="11"/>
  <c r="O106" i="11" s="1"/>
  <c r="N109" i="11"/>
  <c r="G26" i="10"/>
  <c r="V18" i="14"/>
  <c r="V110" i="14" s="1"/>
  <c r="T25" i="15"/>
  <c r="S25" i="15" s="1"/>
  <c r="R25" i="15" s="1"/>
  <c r="BB77" i="17"/>
  <c r="BB71" i="17" s="1"/>
  <c r="I72" i="11"/>
  <c r="AB29" i="15"/>
  <c r="AC23" i="15"/>
  <c r="AC115" i="15" s="1"/>
  <c r="AN33" i="13"/>
  <c r="BW33" i="13" s="1"/>
  <c r="AV32" i="13"/>
  <c r="I30" i="12"/>
  <c r="I29" i="12" s="1"/>
  <c r="I99" i="11"/>
  <c r="O99" i="11" s="1"/>
  <c r="R72" i="17"/>
  <c r="S71" i="17"/>
  <c r="T72" i="11"/>
  <c r="R72" i="11" s="1"/>
  <c r="L71" i="11"/>
  <c r="U71" i="11" s="1"/>
  <c r="S18" i="14"/>
  <c r="P59" i="10"/>
  <c r="P54" i="10" s="1"/>
  <c r="T99" i="11"/>
  <c r="L26" i="11"/>
  <c r="U26" i="11" s="1"/>
  <c r="G77" i="17"/>
  <c r="J77" i="17"/>
  <c r="E77" i="17" s="1"/>
  <c r="R105" i="17"/>
  <c r="R104" i="17" s="1"/>
  <c r="S29" i="17"/>
  <c r="AJ107" i="17"/>
  <c r="AM105" i="17"/>
  <c r="AM104" i="17" s="1"/>
  <c r="R110" i="14"/>
  <c r="E27" i="17"/>
  <c r="BC26" i="17" s="1"/>
  <c r="AY26" i="17" s="1"/>
  <c r="G55" i="10"/>
  <c r="AO105" i="17"/>
  <c r="L28" i="12"/>
  <c r="AF32" i="17"/>
  <c r="AK31" i="17"/>
  <c r="AJ32" i="17"/>
  <c r="AE32" i="17" s="1"/>
  <c r="U24" i="14"/>
  <c r="K102" i="14"/>
  <c r="Q18" i="14"/>
  <c r="L19" i="14"/>
  <c r="K19" i="14" s="1"/>
  <c r="J19" i="14" s="1"/>
  <c r="V24" i="17"/>
  <c r="N85" i="11"/>
  <c r="U85" i="11" s="1"/>
  <c r="I84" i="11"/>
  <c r="O84" i="11" s="1"/>
  <c r="M22" i="11"/>
  <c r="O54" i="10"/>
  <c r="O24" i="10" s="1"/>
  <c r="I103" i="12" l="1"/>
  <c r="I28" i="12"/>
  <c r="U103" i="12"/>
  <c r="AZ101" i="18"/>
  <c r="BA100" i="18"/>
  <c r="AZ100" i="18" s="1"/>
  <c r="G54" i="10"/>
  <c r="AZ69" i="18"/>
  <c r="R26" i="10"/>
  <c r="AZ29" i="18"/>
  <c r="K23" i="12"/>
  <c r="AO34" i="13"/>
  <c r="BY34" i="13" s="1"/>
  <c r="AV31" i="13"/>
  <c r="AV25" i="13" s="1"/>
  <c r="AO25" i="13" s="1"/>
  <c r="BY25" i="13" s="1"/>
  <c r="R23" i="10"/>
  <c r="V70" i="11"/>
  <c r="O72" i="11"/>
  <c r="D24" i="11"/>
  <c r="H22" i="11"/>
  <c r="P30" i="10"/>
  <c r="P29" i="10" s="1"/>
  <c r="P23" i="10" s="1"/>
  <c r="AP115" i="15"/>
  <c r="BY23" i="15"/>
  <c r="BY115" i="15" s="1"/>
  <c r="E102" i="16"/>
  <c r="R29" i="10"/>
  <c r="BA32" i="18"/>
  <c r="Z108" i="15"/>
  <c r="Z107" i="15" s="1"/>
  <c r="AA29" i="15"/>
  <c r="P108" i="15"/>
  <c r="P107" i="15" s="1"/>
  <c r="U104" i="11"/>
  <c r="S86" i="10"/>
  <c r="S55" i="10"/>
  <c r="S54" i="10"/>
  <c r="AE23" i="15"/>
  <c r="AE115" i="15" s="1"/>
  <c r="AF115" i="15"/>
  <c r="AB23" i="15"/>
  <c r="T103" i="12"/>
  <c r="S103" i="12"/>
  <c r="S30" i="12"/>
  <c r="U30" i="12"/>
  <c r="T30" i="12"/>
  <c r="S104" i="12"/>
  <c r="T104" i="12"/>
  <c r="T104" i="11"/>
  <c r="R104" i="11" s="1"/>
  <c r="J28" i="12"/>
  <c r="J22" i="12" s="1"/>
  <c r="BA31" i="18"/>
  <c r="AB18" i="14"/>
  <c r="M18" i="14" s="1"/>
  <c r="O30" i="10"/>
  <c r="O29" i="10" s="1"/>
  <c r="O23" i="10" s="1"/>
  <c r="S29" i="10"/>
  <c r="K28" i="12"/>
  <c r="T24" i="14"/>
  <c r="U18" i="14"/>
  <c r="U110" i="14" s="1"/>
  <c r="AC26" i="17"/>
  <c r="AB26" i="17" s="1"/>
  <c r="Y26" i="17" s="1"/>
  <c r="X26" i="17" s="1"/>
  <c r="W26" i="17" s="1"/>
  <c r="T26" i="17" s="1"/>
  <c r="S26" i="17" s="1"/>
  <c r="R26" i="17" s="1"/>
  <c r="Q26" i="17" s="1"/>
  <c r="P26" i="17" s="1"/>
  <c r="O26" i="17" s="1"/>
  <c r="N26" i="17" s="1"/>
  <c r="AI26" i="17"/>
  <c r="AE26" i="17" s="1"/>
  <c r="Q110" i="14"/>
  <c r="AF31" i="17"/>
  <c r="AK30" i="17"/>
  <c r="AJ31" i="17"/>
  <c r="AE31" i="17" s="1"/>
  <c r="T71" i="11"/>
  <c r="AO104" i="17"/>
  <c r="AS29" i="17"/>
  <c r="AR29" i="17" s="1"/>
  <c r="AQ29" i="17" s="1"/>
  <c r="AP29" i="17" s="1"/>
  <c r="R55" i="10"/>
  <c r="AL105" i="17"/>
  <c r="AL104" i="17" s="1"/>
  <c r="O105" i="17"/>
  <c r="N105" i="17" s="1"/>
  <c r="N104" i="17" s="1"/>
  <c r="R29" i="17"/>
  <c r="H105" i="17"/>
  <c r="S110" i="14"/>
  <c r="L22" i="12"/>
  <c r="N72" i="11"/>
  <c r="I71" i="11"/>
  <c r="Q25" i="15"/>
  <c r="P25" i="15" s="1"/>
  <c r="O25" i="15" s="1"/>
  <c r="N25" i="15" s="1"/>
  <c r="S26" i="10"/>
  <c r="Z24" i="14"/>
  <c r="K24" i="14" s="1"/>
  <c r="AA18" i="14"/>
  <c r="L18" i="14" s="1"/>
  <c r="Q54" i="10"/>
  <c r="H24" i="10"/>
  <c r="H22" i="10" s="1"/>
  <c r="T26" i="11"/>
  <c r="N99" i="11"/>
  <c r="I26" i="11"/>
  <c r="O26" i="11" s="1"/>
  <c r="BW32" i="13"/>
  <c r="AO32" i="13"/>
  <c r="BY32" i="13" s="1"/>
  <c r="X29" i="15"/>
  <c r="W29" i="15" s="1"/>
  <c r="BA77" i="17"/>
  <c r="N106" i="11"/>
  <c r="I104" i="11"/>
  <c r="I103" i="11" s="1"/>
  <c r="Q72" i="17"/>
  <c r="R71" i="17"/>
  <c r="R86" i="10"/>
  <c r="F30" i="17"/>
  <c r="N54" i="10"/>
  <c r="N24" i="10" s="1"/>
  <c r="M111" i="11"/>
  <c r="V22" i="11"/>
  <c r="V111" i="11" s="1"/>
  <c r="N84" i="11"/>
  <c r="T85" i="11"/>
  <c r="R85" i="11" s="1"/>
  <c r="P85" i="11" s="1"/>
  <c r="L84" i="11"/>
  <c r="U84" i="11" s="1"/>
  <c r="K22" i="12" l="1"/>
  <c r="AN29" i="17"/>
  <c r="AN23" i="17" s="1"/>
  <c r="AO29" i="17"/>
  <c r="BA71" i="17"/>
  <c r="AY71" i="17" s="1"/>
  <c r="AY77" i="17"/>
  <c r="G24" i="10"/>
  <c r="S24" i="10" s="1"/>
  <c r="R24" i="10" s="1"/>
  <c r="AZ68" i="18"/>
  <c r="AO31" i="13"/>
  <c r="BY31" i="13" s="1"/>
  <c r="D22" i="11"/>
  <c r="BA27" i="18"/>
  <c r="L110" i="14"/>
  <c r="BA26" i="18"/>
  <c r="Y108" i="15"/>
  <c r="Y107" i="15" s="1"/>
  <c r="Z29" i="15"/>
  <c r="O108" i="15"/>
  <c r="O107" i="15" s="1"/>
  <c r="O104" i="11"/>
  <c r="T18" i="14"/>
  <c r="T110" i="14" s="1"/>
  <c r="O71" i="11"/>
  <c r="AA23" i="15"/>
  <c r="AB115" i="15"/>
  <c r="T29" i="12"/>
  <c r="S29" i="12"/>
  <c r="U29" i="12"/>
  <c r="S28" i="12"/>
  <c r="U28" i="12"/>
  <c r="T28" i="12"/>
  <c r="I23" i="12"/>
  <c r="X23" i="15"/>
  <c r="X115" i="15" s="1"/>
  <c r="S23" i="10"/>
  <c r="N30" i="10"/>
  <c r="N29" i="10" s="1"/>
  <c r="N23" i="10" s="1"/>
  <c r="O22" i="10"/>
  <c r="AX77" i="17"/>
  <c r="BW31" i="13"/>
  <c r="R54" i="10"/>
  <c r="AK24" i="17"/>
  <c r="AJ30" i="17"/>
  <c r="AE30" i="17" s="1"/>
  <c r="AC30" i="17" s="1"/>
  <c r="AB30" i="17" s="1"/>
  <c r="AF30" i="17"/>
  <c r="R28" i="10"/>
  <c r="V29" i="15"/>
  <c r="W23" i="15"/>
  <c r="W115" i="15" s="1"/>
  <c r="N104" i="11"/>
  <c r="N26" i="11"/>
  <c r="M25" i="15"/>
  <c r="O104" i="17"/>
  <c r="H104" i="17"/>
  <c r="AK105" i="17"/>
  <c r="AK104" i="17" s="1"/>
  <c r="M26" i="17"/>
  <c r="I26" i="17"/>
  <c r="N71" i="11"/>
  <c r="AM29" i="17"/>
  <c r="AM23" i="17" s="1"/>
  <c r="Y24" i="14"/>
  <c r="J24" i="14" s="1"/>
  <c r="Z18" i="14"/>
  <c r="K18" i="14" s="1"/>
  <c r="K110" i="14" s="1"/>
  <c r="I105" i="17"/>
  <c r="J105" i="17"/>
  <c r="E105" i="17" s="1"/>
  <c r="P72" i="17"/>
  <c r="Q71" i="17"/>
  <c r="G71" i="17" s="1"/>
  <c r="G72" i="17"/>
  <c r="O29" i="17"/>
  <c r="F24" i="17"/>
  <c r="T84" i="11"/>
  <c r="R84" i="11" s="1"/>
  <c r="P84" i="11" s="1"/>
  <c r="L67" i="10"/>
  <c r="M54" i="10"/>
  <c r="M24" i="10" s="1"/>
  <c r="AJ24" i="17" l="1"/>
  <c r="AF24" i="17"/>
  <c r="AZ27" i="18"/>
  <c r="G22" i="10"/>
  <c r="Q24" i="10"/>
  <c r="R22" i="10"/>
  <c r="D111" i="11"/>
  <c r="Y29" i="15"/>
  <c r="Y23" i="15" s="1"/>
  <c r="Y115" i="15" s="1"/>
  <c r="N108" i="15"/>
  <c r="N107" i="15" s="1"/>
  <c r="Z23" i="15"/>
  <c r="Z115" i="15" s="1"/>
  <c r="AA115" i="15"/>
  <c r="T23" i="12"/>
  <c r="S23" i="12"/>
  <c r="U23" i="12"/>
  <c r="S28" i="10"/>
  <c r="M30" i="10"/>
  <c r="M29" i="10" s="1"/>
  <c r="M23" i="10" s="1"/>
  <c r="N22" i="10"/>
  <c r="AN112" i="17"/>
  <c r="N29" i="17"/>
  <c r="I104" i="17"/>
  <c r="J104" i="17"/>
  <c r="E104" i="17" s="1"/>
  <c r="AM112" i="17"/>
  <c r="AJ105" i="17"/>
  <c r="L25" i="15"/>
  <c r="CC24" i="15" s="1"/>
  <c r="CB24" i="15" s="1"/>
  <c r="CA24" i="15" s="1"/>
  <c r="BZ24" i="15" s="1"/>
  <c r="U29" i="15"/>
  <c r="V23" i="15"/>
  <c r="V115" i="15" s="1"/>
  <c r="AB24" i="17"/>
  <c r="Y30" i="17"/>
  <c r="X30" i="17" s="1"/>
  <c r="T30" i="17" s="1"/>
  <c r="O72" i="17"/>
  <c r="N72" i="17" s="1"/>
  <c r="P71" i="17"/>
  <c r="F72" i="17"/>
  <c r="BW25" i="13"/>
  <c r="I22" i="12"/>
  <c r="AI104" i="17"/>
  <c r="X24" i="14"/>
  <c r="N24" i="14" s="1"/>
  <c r="M24" i="14" s="1"/>
  <c r="Y18" i="14"/>
  <c r="L26" i="17"/>
  <c r="H26" i="17"/>
  <c r="AL29" i="17"/>
  <c r="AL23" i="17" s="1"/>
  <c r="G93" i="10"/>
  <c r="BA25" i="18"/>
  <c r="AW77" i="17"/>
  <c r="AX71" i="17"/>
  <c r="M24" i="17"/>
  <c r="K67" i="10"/>
  <c r="L54" i="10"/>
  <c r="L24" i="10" s="1"/>
  <c r="P24" i="10" l="1"/>
  <c r="P22" i="10" s="1"/>
  <c r="Q22" i="10"/>
  <c r="Q93" i="10" s="1"/>
  <c r="AZ25" i="18"/>
  <c r="S22" i="10"/>
  <c r="M108" i="15"/>
  <c r="M107" i="15" s="1"/>
  <c r="U22" i="12"/>
  <c r="U111" i="12" s="1"/>
  <c r="S22" i="12"/>
  <c r="T22" i="12"/>
  <c r="T111" i="12" s="1"/>
  <c r="L30" i="10"/>
  <c r="L29" i="10" s="1"/>
  <c r="L23" i="10" s="1"/>
  <c r="M22" i="10"/>
  <c r="M93" i="10" s="1"/>
  <c r="AL112" i="17"/>
  <c r="I111" i="12"/>
  <c r="AV77" i="17"/>
  <c r="AW71" i="17"/>
  <c r="AH71" i="17" s="1"/>
  <c r="AK29" i="17"/>
  <c r="AJ104" i="17"/>
  <c r="T29" i="15"/>
  <c r="S29" i="15" s="1"/>
  <c r="R29" i="15" s="1"/>
  <c r="U23" i="15"/>
  <c r="U115" i="15" s="1"/>
  <c r="X24" i="17"/>
  <c r="T24" i="17" s="1"/>
  <c r="E30" i="17"/>
  <c r="J29" i="17"/>
  <c r="K26" i="17"/>
  <c r="G26" i="17"/>
  <c r="O71" i="17"/>
  <c r="F71" i="17"/>
  <c r="M72" i="17"/>
  <c r="I72" i="17"/>
  <c r="N71" i="17"/>
  <c r="I71" i="17" s="1"/>
  <c r="X18" i="14"/>
  <c r="N18" i="14" s="1"/>
  <c r="N110" i="14" s="1"/>
  <c r="M110" i="14" s="1"/>
  <c r="J18" i="14"/>
  <c r="J110" i="14" s="1"/>
  <c r="G30" i="17"/>
  <c r="L24" i="17"/>
  <c r="N93" i="10"/>
  <c r="J67" i="10"/>
  <c r="I67" i="10" s="1"/>
  <c r="I54" i="10" s="1"/>
  <c r="K54" i="10"/>
  <c r="AJ29" i="17" l="1"/>
  <c r="AK23" i="17"/>
  <c r="AJ23" i="17" s="1"/>
  <c r="L108" i="15"/>
  <c r="L107" i="15" s="1"/>
  <c r="K30" i="10"/>
  <c r="K29" i="10" s="1"/>
  <c r="K23" i="10" s="1"/>
  <c r="L22" i="10"/>
  <c r="L93" i="10" s="1"/>
  <c r="S111" i="12"/>
  <c r="R111" i="12" s="1"/>
  <c r="Q111" i="12" s="1"/>
  <c r="P111" i="12" s="1"/>
  <c r="O111" i="12" s="1"/>
  <c r="N111" i="12" s="1"/>
  <c r="M111" i="12" s="1"/>
  <c r="L111" i="12" s="1"/>
  <c r="K111" i="12" s="1"/>
  <c r="J111" i="12" s="1"/>
  <c r="F26" i="17"/>
  <c r="J26" i="17"/>
  <c r="E26" i="17" s="1"/>
  <c r="BC25" i="17" s="1"/>
  <c r="BB25" i="17" s="1"/>
  <c r="BA25" i="17" s="1"/>
  <c r="H30" i="17"/>
  <c r="R24" i="17"/>
  <c r="AU77" i="17"/>
  <c r="AV71" i="17"/>
  <c r="T23" i="15"/>
  <c r="H72" i="17"/>
  <c r="M71" i="17"/>
  <c r="H71" i="17" s="1"/>
  <c r="J72" i="17"/>
  <c r="E72" i="17" s="1"/>
  <c r="S24" i="17"/>
  <c r="Q29" i="15"/>
  <c r="P29" i="15" s="1"/>
  <c r="O29" i="15" s="1"/>
  <c r="N29" i="15" s="1"/>
  <c r="R23" i="15"/>
  <c r="R115" i="15" s="1"/>
  <c r="G24" i="17"/>
  <c r="J54" i="10"/>
  <c r="K24" i="10"/>
  <c r="AX25" i="17" l="1"/>
  <c r="AW25" i="17" s="1"/>
  <c r="AY25" i="17"/>
  <c r="AV25" i="17"/>
  <c r="S23" i="15"/>
  <c r="S115" i="15" s="1"/>
  <c r="T115" i="15"/>
  <c r="J24" i="10"/>
  <c r="I24" i="10" s="1"/>
  <c r="Q23" i="15"/>
  <c r="AT77" i="17"/>
  <c r="AS77" i="17" s="1"/>
  <c r="AF77" i="17"/>
  <c r="I30" i="17"/>
  <c r="N24" i="17"/>
  <c r="J24" i="17" s="1"/>
  <c r="BC29" i="17"/>
  <c r="M29" i="15"/>
  <c r="N23" i="15"/>
  <c r="N115" i="15" s="1"/>
  <c r="M25" i="17"/>
  <c r="J71" i="17"/>
  <c r="E71" i="17" s="1"/>
  <c r="AU71" i="17"/>
  <c r="AG71" i="17"/>
  <c r="AK112" i="17"/>
  <c r="O24" i="17"/>
  <c r="H24" i="17"/>
  <c r="P23" i="15" l="1"/>
  <c r="Q115" i="15"/>
  <c r="I22" i="10"/>
  <c r="L29" i="15"/>
  <c r="CC28" i="15" s="1"/>
  <c r="CB28" i="15" s="1"/>
  <c r="CA28" i="15" s="1"/>
  <c r="BZ28" i="15" s="1"/>
  <c r="BY28" i="15" s="1"/>
  <c r="BX28" i="15" s="1"/>
  <c r="BW28" i="15" s="1"/>
  <c r="M23" i="15"/>
  <c r="M115" i="15" s="1"/>
  <c r="AT71" i="17"/>
  <c r="AU25" i="17"/>
  <c r="AF71" i="17"/>
  <c r="L25" i="17"/>
  <c r="M23" i="17"/>
  <c r="AW29" i="17"/>
  <c r="AV29" i="17" s="1"/>
  <c r="AI77" i="17"/>
  <c r="AH77" i="17" s="1"/>
  <c r="AG77" i="17" s="1"/>
  <c r="AS71" i="17"/>
  <c r="AO77" i="17"/>
  <c r="AE77" i="17" s="1"/>
  <c r="J22" i="10"/>
  <c r="K22" i="10"/>
  <c r="K93" i="10" s="1"/>
  <c r="AT25" i="17" l="1"/>
  <c r="AU23" i="17"/>
  <c r="O23" i="15"/>
  <c r="O115" i="15" s="1"/>
  <c r="P115" i="15"/>
  <c r="L23" i="15"/>
  <c r="AS25" i="17"/>
  <c r="AS23" i="17" s="1"/>
  <c r="AO71" i="17"/>
  <c r="AE71" i="17" s="1"/>
  <c r="AI71" i="17"/>
  <c r="M112" i="17"/>
  <c r="K25" i="17"/>
  <c r="K23" i="17" s="1"/>
  <c r="L23" i="17"/>
  <c r="W29" i="17"/>
  <c r="J93" i="10"/>
  <c r="I93" i="10" s="1"/>
  <c r="H93" i="10" s="1"/>
  <c r="S93" i="10" s="1"/>
  <c r="R93" i="10" s="1"/>
  <c r="P93" i="10" s="1"/>
  <c r="O93" i="10" s="1"/>
  <c r="BC84" i="13"/>
  <c r="BC82" i="13" s="1"/>
  <c r="AO82" i="13" s="1"/>
  <c r="BY82" i="13" s="1"/>
  <c r="BC111" i="13"/>
  <c r="BC109" i="13" s="1"/>
  <c r="R28" i="11"/>
  <c r="P28" i="11"/>
  <c r="K29" i="11"/>
  <c r="K23" i="11" s="1"/>
  <c r="K22" i="11" s="1"/>
  <c r="J29" i="11"/>
  <c r="J23" i="11" s="1"/>
  <c r="J22" i="11" s="1"/>
  <c r="H111" i="11"/>
  <c r="AV111" i="13"/>
  <c r="BB81" i="13"/>
  <c r="R76" i="11"/>
  <c r="R93" i="11"/>
  <c r="P93" i="11"/>
  <c r="R94" i="11"/>
  <c r="P94" i="11"/>
  <c r="R103" i="11"/>
  <c r="AT108" i="13"/>
  <c r="AS108" i="13"/>
  <c r="BW113" i="13"/>
  <c r="AT81" i="13"/>
  <c r="BW84" i="13"/>
  <c r="BW109" i="13"/>
  <c r="BW108" i="13" s="1"/>
  <c r="BW111" i="13"/>
  <c r="BC108" i="13" l="1"/>
  <c r="BC30" i="13" s="1"/>
  <c r="U31" i="11"/>
  <c r="U38" i="11"/>
  <c r="AH110" i="14"/>
  <c r="AG110" i="14" s="1"/>
  <c r="AF110" i="14" s="1"/>
  <c r="AE110" i="14" s="1"/>
  <c r="AD110" i="14" s="1"/>
  <c r="AC110" i="14" s="1"/>
  <c r="AB110" i="14" s="1"/>
  <c r="AA110" i="14" s="1"/>
  <c r="Z110" i="14" s="1"/>
  <c r="Y110" i="14" s="1"/>
  <c r="X110" i="14" s="1"/>
  <c r="W110" i="14" s="1"/>
  <c r="L115" i="15"/>
  <c r="T94" i="11"/>
  <c r="AU112" i="17"/>
  <c r="P29" i="11"/>
  <c r="V29" i="17"/>
  <c r="BB30" i="13"/>
  <c r="AN30" i="13" s="1"/>
  <c r="BW30" i="13" s="1"/>
  <c r="BV30" i="13" s="1"/>
  <c r="AT30" i="13" s="1"/>
  <c r="L112" i="17"/>
  <c r="AR25" i="17"/>
  <c r="AR23" i="17" s="1"/>
  <c r="AI25" i="17"/>
  <c r="R29" i="11"/>
  <c r="BU30" i="13"/>
  <c r="AS30" i="13" s="1"/>
  <c r="BB75" i="13"/>
  <c r="AN81" i="13"/>
  <c r="BW81" i="13" s="1"/>
  <c r="BC81" i="13"/>
  <c r="BC75" i="13" s="1"/>
  <c r="BC26" i="13" s="1"/>
  <c r="I76" i="11"/>
  <c r="AO84" i="13"/>
  <c r="BY84" i="13" s="1"/>
  <c r="AO113" i="13"/>
  <c r="BY113" i="13" s="1"/>
  <c r="I38" i="11"/>
  <c r="O38" i="11" s="1"/>
  <c r="AO111" i="13"/>
  <c r="BY111" i="13" s="1"/>
  <c r="AV109" i="13"/>
  <c r="AV108" i="13" s="1"/>
  <c r="BC24" i="13" l="1"/>
  <c r="BC116" i="13" s="1"/>
  <c r="T31" i="11"/>
  <c r="O31" i="11"/>
  <c r="U30" i="11"/>
  <c r="L76" i="11"/>
  <c r="U76" i="11" s="1"/>
  <c r="U77" i="11"/>
  <c r="T103" i="11"/>
  <c r="U103" i="11"/>
  <c r="L93" i="11"/>
  <c r="U93" i="11" s="1"/>
  <c r="U94" i="11"/>
  <c r="O76" i="11"/>
  <c r="O77" i="11"/>
  <c r="L28" i="11"/>
  <c r="U28" i="11" s="1"/>
  <c r="T77" i="11"/>
  <c r="N77" i="11"/>
  <c r="K112" i="17"/>
  <c r="U29" i="17"/>
  <c r="G29" i="17"/>
  <c r="P23" i="11"/>
  <c r="AV81" i="13"/>
  <c r="AS112" i="17"/>
  <c r="R23" i="11"/>
  <c r="AQ25" i="17"/>
  <c r="AQ23" i="17" s="1"/>
  <c r="AH25" i="17"/>
  <c r="AN75" i="13"/>
  <c r="BW75" i="13" s="1"/>
  <c r="BV75" i="13" s="1"/>
  <c r="BB26" i="13"/>
  <c r="O94" i="11"/>
  <c r="AO109" i="13"/>
  <c r="BY109" i="13" s="1"/>
  <c r="N31" i="11" l="1"/>
  <c r="T93" i="11"/>
  <c r="T76" i="11"/>
  <c r="N103" i="11"/>
  <c r="I28" i="11"/>
  <c r="N76" i="11"/>
  <c r="T30" i="11"/>
  <c r="I30" i="11"/>
  <c r="L70" i="11"/>
  <c r="U70" i="11" s="1"/>
  <c r="O103" i="11"/>
  <c r="T28" i="11"/>
  <c r="F29" i="17"/>
  <c r="AR112" i="17"/>
  <c r="AV75" i="13"/>
  <c r="AP25" i="17"/>
  <c r="AG25" i="17"/>
  <c r="K111" i="11"/>
  <c r="R22" i="11"/>
  <c r="R111" i="11" s="1"/>
  <c r="AO81" i="13"/>
  <c r="BY81" i="13" s="1"/>
  <c r="J111" i="11"/>
  <c r="P22" i="11"/>
  <c r="P111" i="11" s="1"/>
  <c r="BU75" i="13"/>
  <c r="AT75" i="13"/>
  <c r="BV26" i="13"/>
  <c r="AT26" i="13" s="1"/>
  <c r="BB24" i="13"/>
  <c r="BB116" i="13" s="1"/>
  <c r="AN26" i="13"/>
  <c r="BW26" i="13" s="1"/>
  <c r="I93" i="11"/>
  <c r="N94" i="11"/>
  <c r="AV30" i="13"/>
  <c r="AO108" i="13"/>
  <c r="BY108" i="13" s="1"/>
  <c r="AO25" i="17" l="1"/>
  <c r="AP23" i="17"/>
  <c r="AO23" i="17" s="1"/>
  <c r="AF25" i="17"/>
  <c r="AE25" i="17" s="1"/>
  <c r="U29" i="11"/>
  <c r="O30" i="11"/>
  <c r="I29" i="11"/>
  <c r="I23" i="11" s="1"/>
  <c r="N23" i="11" s="1"/>
  <c r="T29" i="11"/>
  <c r="O93" i="11"/>
  <c r="I70" i="11"/>
  <c r="I24" i="11" s="1"/>
  <c r="N24" i="11" s="1"/>
  <c r="L24" i="11"/>
  <c r="N30" i="11"/>
  <c r="T70" i="11"/>
  <c r="O28" i="11"/>
  <c r="N28" i="11"/>
  <c r="AV26" i="13"/>
  <c r="AV24" i="13" s="1"/>
  <c r="AV116" i="13" s="1"/>
  <c r="AO75" i="13"/>
  <c r="BY75" i="13" s="1"/>
  <c r="AQ112" i="17"/>
  <c r="AC25" i="17"/>
  <c r="AB25" i="17" s="1"/>
  <c r="AN24" i="13"/>
  <c r="AN116" i="13" s="1"/>
  <c r="BT75" i="13"/>
  <c r="AS75" i="13"/>
  <c r="BU26" i="13"/>
  <c r="BU24" i="13" s="1"/>
  <c r="N93" i="11"/>
  <c r="AO30" i="13"/>
  <c r="BY30" i="13" s="1"/>
  <c r="U24" i="11" l="1"/>
  <c r="L22" i="11"/>
  <c r="U22" i="11" s="1"/>
  <c r="U111" i="11" s="1"/>
  <c r="I22" i="11"/>
  <c r="O70" i="11"/>
  <c r="U23" i="11"/>
  <c r="O29" i="11"/>
  <c r="T23" i="11"/>
  <c r="T24" i="11"/>
  <c r="N29" i="11"/>
  <c r="AS24" i="13"/>
  <c r="AS116" i="13" s="1"/>
  <c r="BU116" i="13"/>
  <c r="AO24" i="13"/>
  <c r="AP112" i="17"/>
  <c r="AO26" i="13"/>
  <c r="BY26" i="13" s="1"/>
  <c r="AA25" i="17"/>
  <c r="AR75" i="13"/>
  <c r="Y68" i="18" s="1"/>
  <c r="BT26" i="13"/>
  <c r="BT24" i="13" s="1"/>
  <c r="AR24" i="13" s="1"/>
  <c r="BW24" i="13"/>
  <c r="BW116" i="13" s="1"/>
  <c r="AS26" i="13"/>
  <c r="N70" i="11"/>
  <c r="O23" i="11"/>
  <c r="AO116" i="13" l="1"/>
  <c r="BY116" i="13" s="1"/>
  <c r="BY24" i="13"/>
  <c r="O22" i="11"/>
  <c r="N22" i="11"/>
  <c r="L111" i="11"/>
  <c r="T22" i="11"/>
  <c r="T111" i="11" s="1"/>
  <c r="Z25" i="17"/>
  <c r="AA23" i="17"/>
  <c r="AA112" i="17" s="1"/>
  <c r="BV24" i="13"/>
  <c r="AR26" i="13"/>
  <c r="Y27" i="18" s="1"/>
  <c r="O24" i="11"/>
  <c r="AR116" i="13" l="1"/>
  <c r="BT116" i="13"/>
  <c r="AT24" i="13"/>
  <c r="AT116" i="13" s="1"/>
  <c r="BV116" i="13"/>
  <c r="Y25" i="17"/>
  <c r="X25" i="17" s="1"/>
  <c r="Z23" i="17"/>
  <c r="BS24" i="13"/>
  <c r="O111" i="11"/>
  <c r="I111" i="11"/>
  <c r="N111" i="11"/>
  <c r="AQ24" i="13" l="1"/>
  <c r="AQ116" i="13" s="1"/>
  <c r="BS116" i="13"/>
  <c r="Z112" i="17"/>
  <c r="W25" i="17"/>
  <c r="Y25" i="18"/>
  <c r="V25" i="17" l="1"/>
  <c r="W23" i="17"/>
  <c r="W112" i="17" s="1"/>
  <c r="U25" i="17" l="1"/>
  <c r="V23" i="17"/>
  <c r="V112" i="17" s="1"/>
  <c r="T25" i="17" l="1"/>
  <c r="S25" i="17" s="1"/>
  <c r="U23" i="17"/>
  <c r="U112" i="17" l="1"/>
  <c r="R25" i="17"/>
  <c r="S23" i="17"/>
  <c r="S112" i="17" s="1"/>
  <c r="Q25" i="17" l="1"/>
  <c r="R23" i="17"/>
  <c r="R112" i="17" l="1"/>
  <c r="P25" i="17"/>
  <c r="Q23" i="17"/>
  <c r="G23" i="17" s="1"/>
  <c r="G25" i="17"/>
  <c r="O25" i="17" l="1"/>
  <c r="N25" i="17" s="1"/>
  <c r="P23" i="17"/>
  <c r="F25" i="17"/>
  <c r="Q112" i="17"/>
  <c r="I25" i="17" l="1"/>
  <c r="H25" i="17" s="1"/>
  <c r="N23" i="17"/>
  <c r="J23" i="17" s="1"/>
  <c r="J25" i="17"/>
  <c r="P112" i="17"/>
  <c r="O23" i="17"/>
  <c r="F23" i="17"/>
  <c r="BC24" i="17" l="1"/>
  <c r="E25" i="17"/>
  <c r="N112" i="17"/>
  <c r="BB24" i="17" l="1"/>
  <c r="BA24" i="17" s="1"/>
  <c r="BC23" i="17"/>
  <c r="AW24" i="17"/>
  <c r="AX24" i="17" l="1"/>
  <c r="AI24" i="17" s="1"/>
  <c r="AY24" i="17"/>
  <c r="AH24" i="17"/>
  <c r="AV24" i="17"/>
  <c r="AT24" i="17" s="1"/>
  <c r="AW23" i="17"/>
  <c r="AV23" i="17" l="1"/>
  <c r="AC24" i="17"/>
  <c r="Y24" i="17" s="1"/>
  <c r="E24" i="17" s="1"/>
  <c r="AG24" i="17"/>
  <c r="AE24" i="17" s="1"/>
  <c r="I24" i="17" l="1"/>
  <c r="BC112" i="17" l="1"/>
  <c r="AC29" i="17" l="1"/>
  <c r="AC23" i="17" s="1"/>
  <c r="AC112" i="17" s="1"/>
  <c r="AB29" i="17"/>
  <c r="X29" i="17"/>
  <c r="AX29" i="17"/>
  <c r="AT29" i="17" s="1"/>
  <c r="Y29" i="17" l="1"/>
  <c r="H29" i="17"/>
  <c r="AB23" i="17"/>
  <c r="AI29" i="17"/>
  <c r="AI23" i="17" s="1"/>
  <c r="I29" i="17"/>
  <c r="T29" i="17"/>
  <c r="X23" i="17"/>
  <c r="T23" i="17" s="1"/>
  <c r="AX23" i="17"/>
  <c r="E29" i="17" l="1"/>
  <c r="AX112" i="17"/>
  <c r="AT23" i="17"/>
  <c r="AW112" i="17"/>
  <c r="AV112" i="17" s="1"/>
  <c r="X112" i="17"/>
  <c r="I23" i="17"/>
  <c r="AB112" i="17"/>
  <c r="H23" i="17"/>
  <c r="Y23" i="17"/>
  <c r="E23" i="17" s="1"/>
  <c r="T112" i="17" l="1"/>
  <c r="AT112" i="17"/>
  <c r="AF109" i="17"/>
  <c r="AG109" i="17"/>
  <c r="AY109" i="17"/>
  <c r="AE109" i="17" s="1"/>
  <c r="AH109" i="17"/>
  <c r="AG111" i="17"/>
  <c r="AG110" i="17"/>
  <c r="AH110" i="17"/>
  <c r="AF110" i="17"/>
  <c r="AF111" i="17"/>
  <c r="AE111" i="17"/>
  <c r="AH111" i="17"/>
  <c r="AY110" i="17"/>
  <c r="AE110" i="17"/>
  <c r="AF106" i="17"/>
  <c r="AG106" i="17"/>
  <c r="AY106" i="17"/>
  <c r="AE106" i="17" s="1"/>
  <c r="AH106" i="17"/>
  <c r="AG108" i="17"/>
  <c r="AH108" i="17"/>
  <c r="AF108" i="17"/>
  <c r="AY108" i="17"/>
  <c r="AE108" i="17" s="1"/>
  <c r="AH107" i="17"/>
  <c r="AG107" i="17"/>
  <c r="AF107" i="17"/>
  <c r="AY107" i="17"/>
  <c r="AE107" i="17" s="1"/>
  <c r="AZ105" i="17"/>
  <c r="BA105" i="17"/>
  <c r="AG105" i="17" s="1"/>
  <c r="BB105" i="17"/>
  <c r="AH105" i="17" s="1"/>
  <c r="BA104" i="17" l="1"/>
  <c r="AG104" i="17" s="1"/>
  <c r="AY105" i="17"/>
  <c r="AE105" i="17" s="1"/>
  <c r="BB104" i="17"/>
  <c r="AZ104" i="17"/>
  <c r="AF105" i="17"/>
  <c r="BA29" i="17" l="1"/>
  <c r="BA23" i="17" s="1"/>
  <c r="BA112" i="17" s="1"/>
  <c r="AH104" i="17"/>
  <c r="BB29" i="17"/>
  <c r="AY104" i="17"/>
  <c r="AE104" i="17" s="1"/>
  <c r="AZ29" i="17"/>
  <c r="AF104" i="17"/>
  <c r="AG29" i="17" l="1"/>
  <c r="AG23" i="17" s="1"/>
  <c r="AF29" i="17"/>
  <c r="AY29" i="17"/>
  <c r="AZ23" i="17"/>
  <c r="AH29" i="17"/>
  <c r="AH23" i="17" s="1"/>
  <c r="BB23" i="17"/>
  <c r="BB112" i="17" s="1"/>
  <c r="AY23" i="17" l="1"/>
  <c r="AY112" i="17" s="1"/>
  <c r="AZ112" i="17"/>
  <c r="AE29" i="17"/>
  <c r="AF23" i="17"/>
  <c r="AE23" i="17" s="1"/>
</calcChain>
</file>

<file path=xl/sharedStrings.xml><?xml version="1.0" encoding="utf-8"?>
<sst xmlns="http://schemas.openxmlformats.org/spreadsheetml/2006/main" count="9019" uniqueCount="1196">
  <si>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</si>
  <si>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</si>
  <si>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</si>
  <si>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</si>
  <si>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</si>
  <si>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Фактический объем финансирования капитальных вложений на 01.01. года N, млн. рублей (с НДС)</t>
  </si>
  <si>
    <t>Остаток финансирования капитальных вложений на 01.01. года N в прогнозных ценах соответствующих лет, млн. рублей (с НДС)</t>
  </si>
  <si>
    <t>Финансирование капитальных вложений года N, млн. рублей (с НДС)</t>
  </si>
  <si>
    <t>Остаток финансирования капитальных вложений на 01.01. года (N+1) в прогнозных ценах соответствующих лет, млн. рублей (с НДС)</t>
  </si>
  <si>
    <t>Отклонение от плана финансирования капитальных вложений года N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</si>
  <si>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</si>
  <si>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</si>
  <si>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</si>
  <si>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</si>
  <si>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</si>
  <si>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</si>
  <si>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</si>
  <si>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</si>
  <si>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 в том числе за счет:</t>
  </si>
  <si>
    <t>млн. рублей (с НДС)</t>
  </si>
  <si>
    <t>%</t>
  </si>
  <si>
    <t>ВСЕГО по инвестиционной программе, в том числе:</t>
  </si>
  <si>
    <t>Приложение N 1</t>
  </si>
  <si>
    <t>к приказу Минэнерго России</t>
  </si>
  <si>
    <t>от 25 апреля 2018 г. N 320</t>
  </si>
  <si>
    <t xml:space="preserve">             Форма 1. Отчет об исполнении плана финансирования</t>
  </si>
  <si>
    <t xml:space="preserve">     капитальных вложений по источникам финансирования инвестиционных</t>
  </si>
  <si>
    <t xml:space="preserve">                     проектов инвестиционной программы</t>
  </si>
  <si>
    <t xml:space="preserve">                                за год ____</t>
  </si>
  <si>
    <t xml:space="preserve">    Отчет о реализации инвестиционной программы _______________________</t>
  </si>
  <si>
    <t xml:space="preserve">                                                  полное наименование</t>
  </si>
  <si>
    <t xml:space="preserve">                                                       субъекта</t>
  </si>
  <si>
    <t xml:space="preserve">                                                   электроэнергетики</t>
  </si>
  <si>
    <t xml:space="preserve">                    Год раскрытия информации: ____ год</t>
  </si>
  <si>
    <t xml:space="preserve">           Утвержденные плановые значения показателей приведены</t>
  </si>
  <si>
    <t xml:space="preserve">     в соответствии с ________________________________________________</t>
  </si>
  <si>
    <t xml:space="preserve">                      реквизиты решения органа исполнительной власти,</t>
  </si>
  <si>
    <t xml:space="preserve">                           утвердившего инвестиционную программу</t>
  </si>
  <si>
    <t>Приложение N 2</t>
  </si>
  <si>
    <t xml:space="preserve">             Форма 2. Отчет об исполнении плана освоения капитальных</t>
  </si>
  <si>
    <t>вложений по инвестиционным проектам инвестиционной программы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</si>
  <si>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</si>
  <si>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</si>
  <si>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Фактический объем освоения капитальных вложений на 01.01. года N, млн. рублей (без НДС)</t>
  </si>
  <si>
    <t>Остаток освоения капитальных вложений на 01.01. года N, млн. рублей (без НДС)</t>
  </si>
  <si>
    <t>Освоение капитальных вложений года N, млн. рублей (без НДС)</t>
  </si>
  <si>
    <t>Остаток освоения капитальных вложений на 01.01. года (N+1), млн. рублей (без НДС)</t>
  </si>
  <si>
    <t>Отклонение от плана освоения капитальных вложений года N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</si>
  <si>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</si>
  <si>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</si>
  <si>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</si>
  <si>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</si>
  <si>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</si>
  <si>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</si>
  <si>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N</t>
  </si>
  <si>
    <t>Отклонение от плана ввода основных средств года N</t>
  </si>
  <si>
    <t>нематериальные активы</t>
  </si>
  <si>
    <t>основные средства</t>
  </si>
  <si>
    <t>МВxА</t>
  </si>
  <si>
    <t>Мвар</t>
  </si>
  <si>
    <t>км ЛЭП</t>
  </si>
  <si>
    <t>МВт</t>
  </si>
  <si>
    <t>Другое</t>
  </si>
  <si>
    <t>Форма 3. Отчет об исполнении плана ввода основных</t>
  </si>
  <si>
    <t xml:space="preserve">        средств по инвестиционным проектам инвестиционной программы</t>
  </si>
  <si>
    <t>Приложение N 3</t>
  </si>
  <si>
    <t xml:space="preserve">           Форма 4. Отчет о постановке объектов электросетевого</t>
  </si>
  <si>
    <t xml:space="preserve">     хозяйства под напряжение и (или) включении объектов капитального</t>
  </si>
  <si>
    <t xml:space="preserve">           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</si>
  <si>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&lt;*&gt;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</si>
  <si>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</si>
  <si>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Отклонения от плановых показателей года N</t>
  </si>
  <si>
    <t>Квартал</t>
  </si>
  <si>
    <t>Приложение N 4</t>
  </si>
  <si>
    <t>Приложение N 5</t>
  </si>
  <si>
    <t xml:space="preserve">          инвестиционной деятельности (мощностей) в эксплуатацию</t>
  </si>
  <si>
    <t xml:space="preserve">             Форма 5.  Отчет об исполнении плана ввода объектов</t>
  </si>
  <si>
    <t>Ввод объектов инвестиционной деятельности (мощностей) в эксплуатацию в год N</t>
  </si>
  <si>
    <t>км ВЛ 1-цеп</t>
  </si>
  <si>
    <t>км ВЛ 2-цеп</t>
  </si>
  <si>
    <t>км КЛ</t>
  </si>
  <si>
    <t>Дата ввода объекта, дд.мм.гггг</t>
  </si>
  <si>
    <t>&lt;*&gt;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мощности.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</si>
  <si>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</si>
  <si>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Форма 6. Отчет об исполнении плана вывода объектов</t>
  </si>
  <si>
    <t>инвестиционной деятельности (мощностей) из  эксплуатации</t>
  </si>
  <si>
    <t>Приложение N 6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</si>
  <si>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</si>
  <si>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</si>
  <si>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Дата вывода объекта, дд.мм.гггг</t>
  </si>
  <si>
    <t>Приложение N 7</t>
  </si>
  <si>
    <t>Форма 7. Отчет о фактических значениях количественных</t>
  </si>
  <si>
    <t>показателей по инвестиционным проектам инвестиционной программы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</si>
  <si>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</si>
  <si>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</si>
  <si>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</si>
  <si>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</si>
  <si>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</si>
  <si>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</si>
  <si>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</si>
  <si>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</si>
  <si>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</si>
  <si>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...</t>
  </si>
  <si>
    <t>4. ...</t>
  </si>
  <si>
    <t>5. ...</t>
  </si>
  <si>
    <t>6. ...</t>
  </si>
  <si>
    <t>7. ...</t>
  </si>
  <si>
    <t>8. ...</t>
  </si>
  <si>
    <t>9. ...</t>
  </si>
  <si>
    <t>10. ...</t>
  </si>
  <si>
    <t>Приложение N 8</t>
  </si>
  <si>
    <t>Форма 8. Отчет о достигнутых результатах в части, касающейся расширения пропускной способности, снижения потерь</t>
  </si>
  <si>
    <t>в сетях и увеличения резерва для присоединения потребителей отдельно по каждому центру питания напряжением 35 кВ и выше</t>
  </si>
  <si>
    <t>Наименование центра питания</t>
  </si>
  <si>
    <t>Место расположения центра питания: 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</si>
  <si>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</si>
  <si>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</si>
  <si>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</si>
  <si>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кВтxч/год</t>
  </si>
  <si>
    <t>факт на 01.01. года N</t>
  </si>
  <si>
    <t>факт на 01.01. года N+1</t>
  </si>
  <si>
    <t>факт года N-1 (на 01.01. года N)</t>
  </si>
  <si>
    <t>факт года N (на 01.01. года N+1)</t>
  </si>
  <si>
    <t>Приложение N 9</t>
  </si>
  <si>
    <t xml:space="preserve">Форма 9. Отчет об исполнении финансового плана
                        субъекта электроэнергетики
</t>
  </si>
  <si>
    <t>субъекта электроэнергетики</t>
  </si>
  <si>
    <t>Инвестиционная программа ________________________________________</t>
  </si>
  <si>
    <t xml:space="preserve">                               полное наименование субъекта</t>
  </si>
  <si>
    <t xml:space="preserve">                                     электроэнергетики</t>
  </si>
  <si>
    <t xml:space="preserve">      Субъект Российской Федерации: _________________________________</t>
  </si>
  <si>
    <t xml:space="preserve">            Год раскрытия (предоставления) информации: ____ год</t>
  </si>
  <si>
    <t>Утвержденные плановые значения показателей приведены в соответствии с</t>
  </si>
  <si>
    <t xml:space="preserve">    реквизиты    решения   органа   исполнительной   власти,   утвердившего</t>
  </si>
  <si>
    <t>инвестиционную программу</t>
  </si>
  <si>
    <t xml:space="preserve">              1. Финансово-экономическая модель деятельности</t>
  </si>
  <si>
    <t xml:space="preserve">                        субъекта электроэнергетики</t>
  </si>
  <si>
    <t>N п/п</t>
  </si>
  <si>
    <t>Показатель</t>
  </si>
  <si>
    <t>Ед. изм.</t>
  </si>
  <si>
    <t>Отчетный год N</t>
  </si>
  <si>
    <t>Отклонение от плановых значений года N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</si>
  <si>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</si>
  <si>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</si>
  <si>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</si>
  <si>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</si>
  <si>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 &lt;*&gt;:</t>
  </si>
  <si>
    <t>млн.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</si>
  <si>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</si>
  <si>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</si>
  <si>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</si>
  <si>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</si>
  <si>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</si>
  <si>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</si>
  <si>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</si>
  <si>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</si>
  <si>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</si>
  <si>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</si>
  <si>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</si>
  <si>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</si>
  <si>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</si>
  <si>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</si>
  <si>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</si>
  <si>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</si>
  <si>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</si>
  <si>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</si>
  <si>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</si>
  <si>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</si>
  <si>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</si>
  <si>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</si>
  <si>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</si>
  <si>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</si>
  <si>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</si>
  <si>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</si>
  <si>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</si>
  <si>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</si>
  <si>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</si>
  <si>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</si>
  <si>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</si>
  <si>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</si>
  <si>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</si>
  <si>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</si>
  <si>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</si>
  <si>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&lt;*****&gt;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</si>
  <si>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</si>
  <si>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</si>
  <si>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</si>
  <si>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</si>
  <si>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</si>
  <si>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</si>
  <si>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</si>
  <si>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</si>
  <si>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</si>
  <si>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</si>
  <si>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</si>
  <si>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</si>
  <si>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</si>
  <si>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</si>
  <si>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II.VII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</si>
  <si>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</si>
  <si>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</si>
  <si>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</si>
  <si>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</si>
  <si>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</si>
  <si>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r>
      <t>Прибыль (убыток) от продаж (</t>
    </r>
    <r>
      <rPr>
        <sz val="12"/>
        <color rgb="FF0000FF"/>
        <rFont val="Times New Roman"/>
        <family val="1"/>
        <charset val="204"/>
      </rPr>
      <t>строка I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II</t>
    </r>
    <r>
      <rPr>
        <sz val="12"/>
        <color theme="1"/>
        <rFont val="Times New Roman"/>
        <family val="1"/>
        <charset val="204"/>
      </rPr>
      <t>) всего, в том числе:</t>
    </r>
  </si>
  <si>
    <t>IV</t>
  </si>
  <si>
    <r>
      <t>Прочие доходы и расходы (сальдо) (</t>
    </r>
    <r>
      <rPr>
        <sz val="12"/>
        <color rgb="FF0000FF"/>
        <rFont val="Times New Roman"/>
        <family val="1"/>
        <charset val="204"/>
      </rPr>
      <t>строка 4.1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4.2</t>
    </r>
    <r>
      <rPr>
        <sz val="12"/>
        <color theme="1"/>
        <rFont val="Times New Roman"/>
        <family val="1"/>
        <charset val="204"/>
      </rPr>
      <t>)</t>
    </r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</si>
  <si>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</si>
  <si>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</si>
  <si>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</si>
  <si>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</si>
  <si>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</si>
  <si>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</si>
  <si>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</si>
  <si>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</si>
  <si>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</si>
  <si>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</si>
  <si>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</si>
  <si>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</si>
  <si>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</si>
  <si>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r>
      <t>Прибыль (убыток) до налогообложения (</t>
    </r>
    <r>
      <rPr>
        <sz val="12"/>
        <color rgb="FF0000FF"/>
        <rFont val="Times New Roman"/>
        <family val="1"/>
        <charset val="204"/>
      </rPr>
      <t>строка III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IV</t>
    </r>
    <r>
      <rPr>
        <sz val="12"/>
        <color theme="1"/>
        <rFont val="Times New Roman"/>
        <family val="1"/>
        <charset val="204"/>
      </rPr>
      <t>) всего, в том числе:</t>
    </r>
  </si>
  <si>
    <t>Производство и поставка электрической энергии на оптовом рынке электрической энергии и мощности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</si>
  <si>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</si>
  <si>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</si>
  <si>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</si>
  <si>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</si>
  <si>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</si>
  <si>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</si>
  <si>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</si>
  <si>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</si>
  <si>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</si>
  <si>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VII</t>
  </si>
  <si>
    <t>Чистая прибыль (убыток) всего, в том числе:</t>
  </si>
  <si>
    <t>VIII</t>
  </si>
  <si>
    <t>Направления использования чистой прибыли</t>
  </si>
  <si>
    <t>на рефинансирование кредитов и займов</t>
  </si>
  <si>
    <t>Выплата дивидендов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</si>
  <si>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</si>
  <si>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</si>
  <si>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</si>
  <si>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</si>
  <si>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 всего, в том числе</t>
  </si>
  <si>
    <t>Сальдо денежных средств по инвестиционным операциям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</si>
  <si>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</si>
  <si>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</si>
  <si>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</si>
  <si>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</si>
  <si>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</si>
  <si>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</si>
  <si>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</si>
  <si>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</si>
  <si>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r>
      <t>Итого сальдо денежных средств (</t>
    </r>
    <r>
      <rPr>
        <sz val="12"/>
        <color rgb="FF0000FF"/>
        <rFont val="Times New Roman"/>
        <family val="1"/>
        <charset val="204"/>
      </rPr>
      <t>строка XVI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XVII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XVIII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XIX</t>
    </r>
    <r>
      <rPr>
        <sz val="12"/>
        <color theme="1"/>
        <rFont val="Times New Roman"/>
        <family val="1"/>
        <charset val="204"/>
      </rPr>
      <t>)</t>
    </r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</si>
  <si>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</si>
  <si>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</si>
  <si>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</si>
  <si>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</si>
  <si>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</si>
  <si>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</si>
  <si>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</si>
  <si>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</si>
  <si>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</si>
  <si>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</si>
  <si>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</si>
  <si>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</si>
  <si>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</si>
  <si>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</si>
  <si>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</si>
  <si>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</si>
  <si>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</si>
  <si>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</si>
  <si>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оказание услуг по передаче электрической энергии</t>
  </si>
  <si>
    <t>23.1.3.а</t>
  </si>
  <si>
    <t>оказание услуг по передаче тепловой энергии, теплоносителя</t>
  </si>
  <si>
    <t>23.1.4.а</t>
  </si>
  <si>
    <t>оказание услуг по технологическому присоединению</t>
  </si>
  <si>
    <t>23.1.5.а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</si>
  <si>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</si>
  <si>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</si>
  <si>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</si>
  <si>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</si>
  <si>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</si>
  <si>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</si>
  <si>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</si>
  <si>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</si>
  <si>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</si>
  <si>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</si>
  <si>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прочая деятельность</t>
  </si>
  <si>
    <t>23.1.9.а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</si>
  <si>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</si>
  <si>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</si>
  <si>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</si>
  <si>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</si>
  <si>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</si>
  <si>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</si>
  <si>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</si>
  <si>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</si>
  <si>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</si>
  <si>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</si>
  <si>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</si>
  <si>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</si>
  <si>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по оплате услуг территориальных сетевых организаций</t>
  </si>
  <si>
    <t>23.2.4.а</t>
  </si>
  <si>
    <t>перед персоналом по оплате труда</t>
  </si>
  <si>
    <t>23.2.5.а</t>
  </si>
  <si>
    <t>перед бюджетами и внебюджетными фондами</t>
  </si>
  <si>
    <t>23.2.6.а</t>
  </si>
  <si>
    <t>по договорам технологического присоединения</t>
  </si>
  <si>
    <t>23.2.7.а</t>
  </si>
  <si>
    <t>по обязательствам перед поставщиками и подрядчиками по исполнению инвестиционной программы</t>
  </si>
  <si>
    <t>23.2.8.а</t>
  </si>
  <si>
    <t>прочая кредиторская задолженность</t>
  </si>
  <si>
    <t>23.2.9.а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</si>
  <si>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</si>
  <si>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</si>
  <si>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</si>
  <si>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</si>
  <si>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</si>
  <si>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</si>
  <si>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</si>
  <si>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</si>
  <si>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</si>
  <si>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</si>
  <si>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</si>
  <si>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</si>
  <si>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</si>
  <si>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</si>
  <si>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</si>
  <si>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</si>
  <si>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</si>
  <si>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</si>
  <si>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</si>
  <si>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</si>
  <si>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</si>
  <si>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</si>
  <si>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</si>
  <si>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</si>
  <si>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</si>
  <si>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</si>
  <si>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млн.кВт.ч</t>
  </si>
  <si>
    <t>Объем продукции отпущенной с шин (коллекторов)</t>
  </si>
  <si>
    <t>электрической энергии</t>
  </si>
  <si>
    <t>тепловой энергии</t>
  </si>
  <si>
    <t>тыс.Гкал</t>
  </si>
  <si>
    <t>Объем покупной продукции для последующей продажи</t>
  </si>
  <si>
    <t>электрической мощности</t>
  </si>
  <si>
    <t>Объем покупной продукции на технологические цели</t>
  </si>
  <si>
    <t>Объем продукции отпущенной (проданной) потребителям</t>
  </si>
  <si>
    <t>XXV</t>
  </si>
  <si>
    <t>В отношении деятельности по передаче электрической энергии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</si>
  <si>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</si>
  <si>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</si>
  <si>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</si>
  <si>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</si>
  <si>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</si>
  <si>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</si>
  <si>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</si>
  <si>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&lt;***&gt;/фактическая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</si>
  <si>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</si>
  <si>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</si>
  <si>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</si>
  <si>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Количество условных единиц обслуживаемого электросетевого оборудования</t>
  </si>
  <si>
    <t>у.е.</t>
  </si>
  <si>
    <r>
      <t>Необходимая валовая выручка сетевой организации в части содержания (</t>
    </r>
    <r>
      <rPr>
        <sz val="12"/>
        <color rgb="FF0000FF"/>
        <rFont val="Times New Roman"/>
        <family val="1"/>
        <charset val="204"/>
      </rPr>
      <t>строка 1.3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2.2.1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2.2.2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2.1.2.1.1</t>
    </r>
    <r>
      <rPr>
        <sz val="12"/>
        <color theme="1"/>
        <rFont val="Times New Roman"/>
        <family val="1"/>
        <charset val="204"/>
      </rPr>
      <t>)</t>
    </r>
  </si>
  <si>
    <t>XXVI</t>
  </si>
  <si>
    <t>В отношении сбытовой деятельности</t>
  </si>
  <si>
    <t>Полезный отпуск электрической энергии потребителям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</si>
  <si>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</si>
  <si>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</si>
  <si>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</si>
  <si>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</si>
  <si>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</si>
  <si>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</si>
  <si>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</si>
  <si>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</si>
  <si>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</si>
  <si>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Объем потребления в Единой энергетической системе России, в том числе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</si>
  <si>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</si>
  <si>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</si>
  <si>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Собственная необходимая валовая выручка субъекта оперативно-диспетчерского управления, всего в том числе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</si>
  <si>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</si>
  <si>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</si>
  <si>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</si>
  <si>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</si>
  <si>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Отклонения от плановых значений года N</t>
  </si>
  <si>
    <r>
      <t>Источники финансирования инвестиционной программы всего (</t>
    </r>
    <r>
      <rPr>
        <sz val="12"/>
        <color rgb="FF0000FF"/>
        <rFont val="Times New Roman"/>
        <family val="1"/>
        <charset val="204"/>
      </rPr>
      <t>строка I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II</t>
    </r>
    <r>
      <rPr>
        <sz val="12"/>
        <color theme="1"/>
        <rFont val="Times New Roman"/>
        <family val="1"/>
        <charset val="204"/>
      </rPr>
      <t>) всего, в том числе:</t>
    </r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</si>
  <si>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</si>
  <si>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</si>
  <si>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</si>
  <si>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</si>
  <si>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</si>
  <si>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</si>
  <si>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</si>
  <si>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</si>
  <si>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</si>
  <si>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</si>
  <si>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</si>
  <si>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</si>
  <si>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</si>
  <si>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</si>
  <si>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</si>
  <si>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</si>
  <si>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</si>
  <si>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</si>
  <si>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</si>
  <si>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</si>
  <si>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</si>
  <si>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</si>
  <si>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</si>
  <si>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</si>
  <si>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</si>
  <si>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</si>
  <si>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</si>
  <si>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</si>
  <si>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</si>
  <si>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</si>
  <si>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</si>
  <si>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</si>
  <si>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</si>
  <si>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</si>
  <si>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</si>
  <si>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</si>
  <si>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</si>
  <si>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</si>
  <si>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</si>
  <si>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</si>
  <si>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</si>
  <si>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</si>
  <si>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</si>
  <si>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</si>
  <si>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</si>
  <si>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</si>
  <si>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</si>
  <si>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</si>
  <si>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</si>
  <si>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</si>
  <si>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</si>
  <si>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</si>
  <si>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</t>
  </si>
  <si>
    <t>1.2.3.1.1</t>
  </si>
  <si>
    <t>1.2.3.1.2</t>
  </si>
  <si>
    <t>КонсультантПлюс: примечание.Нумерация подпунктов дана в соответствии с официальным текстом документа.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</si>
  <si>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</si>
  <si>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</si>
  <si>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</si>
  <si>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</si>
  <si>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</si>
  <si>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</si>
  <si>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</si>
  <si>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</si>
  <si>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&lt;****&gt;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</si>
  <si>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</si>
  <si>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</si>
  <si>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</si>
  <si>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</si>
  <si>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</si>
  <si>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</si>
  <si>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</si>
  <si>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</si>
  <si>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</si>
  <si>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</si>
  <si>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</si>
  <si>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</si>
  <si>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</si>
  <si>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</si>
  <si>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</si>
  <si>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</si>
  <si>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</si>
  <si>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</si>
  <si>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</si>
  <si>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</si>
  <si>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</si>
  <si>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</si>
  <si>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</si>
  <si>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</si>
  <si>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</si>
  <si>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Примечание:</t>
  </si>
  <si>
    <t>&lt;*&gt; В строках, содержащих слова "всего, в том числе" указывается сумма нижерасположенных строк соответствующего раздела (подраздела).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</si>
  <si>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</si>
  <si>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&lt;***&gt; Указывается на основании заключенных договоров на оказание услуг по передаче электрической энергии.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</si>
  <si>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</si>
  <si>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&lt;*****&gt; Указывается суммарно стоимость оказанных субъекту электроэнергетики услуг.</t>
  </si>
  <si>
    <t>Приложение N 10</t>
  </si>
  <si>
    <t>Форма 10. Отчет об исполнении плана финансирования</t>
  </si>
  <si>
    <t>капитальных вложений по инвестиционным проектам инвестиционной программы (квартальный)</t>
  </si>
  <si>
    <t>Остаток финансирования капитальных вложений на конец отчетного периода в прогнозных ценах соответствующих лет, млн. рублей 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</si>
  <si>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</si>
  <si>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</si>
  <si>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</si>
  <si>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</si>
  <si>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</si>
  <si>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</si>
  <si>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</t>
  </si>
  <si>
    <t>Форма 11. Отчет об исполнении плана финансирования</t>
  </si>
  <si>
    <t>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</si>
  <si>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</si>
  <si>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Форма 12. Отчет об исполнении плана освоения капитальных вложений</t>
  </si>
  <si>
    <t>по инвестиционным проектам инвестиционной программы (квартальный)</t>
  </si>
  <si>
    <t>Приложение N 12</t>
  </si>
  <si>
    <t>Остаток освоения капитальных вложений на конец отчетного периода, млн. рублей (без НДС)</t>
  </si>
  <si>
    <t>Отклонение от плана освоения по итогам отчетного периода</t>
  </si>
  <si>
    <t>Приложение N 13</t>
  </si>
  <si>
    <t>Форма 13. Отчет об исполнении плана ввода основных средств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</si>
  <si>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</si>
  <si>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</si>
  <si>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</si>
  <si>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</si>
  <si>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</si>
  <si>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</si>
  <si>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</si>
  <si>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</si>
  <si>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</si>
  <si>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</si>
  <si>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</si>
  <si>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</si>
  <si>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</si>
  <si>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</si>
  <si>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</si>
  <si>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</si>
  <si>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</si>
  <si>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</si>
  <si>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</si>
  <si>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</si>
  <si>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</si>
  <si>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</si>
  <si>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</si>
  <si>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</si>
  <si>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</si>
  <si>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</si>
  <si>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</si>
  <si>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</si>
  <si>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</si>
  <si>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</si>
  <si>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</si>
  <si>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</si>
  <si>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</si>
  <si>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</si>
  <si>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</si>
  <si>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Отклонение от плана ввода основных средств по итогам отчетного периода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</si>
  <si>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</si>
  <si>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</si>
  <si>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</si>
  <si>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</si>
  <si>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</si>
  <si>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</si>
  <si>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</si>
  <si>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</si>
  <si>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</si>
  <si>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</si>
  <si>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</si>
  <si>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</si>
  <si>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</si>
  <si>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</si>
  <si>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</si>
  <si>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</si>
  <si>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</si>
  <si>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</si>
  <si>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</si>
  <si>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</si>
  <si>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</si>
  <si>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</si>
  <si>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</si>
  <si>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</si>
  <si>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</si>
  <si>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</si>
  <si>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</si>
  <si>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</si>
  <si>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</si>
  <si>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</si>
  <si>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</si>
  <si>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</si>
  <si>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</si>
  <si>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</si>
  <si>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</si>
  <si>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Форма 14. Отчет о постановке объектов электросетевого</t>
  </si>
  <si>
    <t>хозяйства под напряжение и (или) включении объектов капитального  строительства для проведения пусконаладочных работ (квартальный)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</si>
  <si>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</si>
  <si>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</si>
  <si>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</si>
  <si>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</si>
  <si>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</si>
  <si>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</si>
  <si>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</si>
  <si>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</si>
  <si>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</si>
  <si>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</si>
  <si>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</si>
  <si>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</si>
  <si>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</si>
  <si>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</si>
  <si>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</si>
  <si>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</si>
  <si>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</si>
  <si>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</si>
  <si>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</si>
  <si>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</si>
  <si>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Приложение N 15</t>
  </si>
  <si>
    <t>Форма 15. Отчет об исполнении плана ввода объектов инвестиционной</t>
  </si>
  <si>
    <t>деятельности (мощностей) в эксплуатацию (квартальный)</t>
  </si>
  <si>
    <t>Отклонения от плановых показателей по итогам отчетного периода</t>
  </si>
  <si>
    <t>7.6.</t>
  </si>
  <si>
    <t>7.7.</t>
  </si>
  <si>
    <t>Приложение N 16</t>
  </si>
  <si>
    <t>Форма 16. Отчет об исполнении плана вывода объектов инвестиционной</t>
  </si>
  <si>
    <t>деятельности (мощностей) из эксплуатации (квартальный)</t>
  </si>
  <si>
    <t>Форма 17. Отчет об исполнении основных этапов работ по инвестиционным</t>
  </si>
  <si>
    <t xml:space="preserve">              проектам инвестиционной программы (квартальный)</t>
  </si>
  <si>
    <t>Приложение N 17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</si>
  <si>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</si>
  <si>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</si>
  <si>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</si>
  <si>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</si>
  <si>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</si>
  <si>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</si>
  <si>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</si>
  <si>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</si>
  <si>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</si>
  <si>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</si>
  <si>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</si>
  <si>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</si>
  <si>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</si>
  <si>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</si>
  <si>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</si>
  <si>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</si>
  <si>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</si>
  <si>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</si>
  <si>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</si>
  <si>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</si>
  <si>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</si>
  <si>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</si>
  <si>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</si>
  <si>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</si>
  <si>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Приложение N 18</t>
  </si>
  <si>
    <t xml:space="preserve">    Форма 18. Отчет о фактических значениях количественных показателей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</si>
  <si>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</si>
  <si>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Приложение N 19</t>
  </si>
  <si>
    <t xml:space="preserve">    Форма 19. Отчет о достигнутых результатах в части, касающейся расширения пропускной способности, снижения потерь</t>
  </si>
  <si>
    <t>в сетях и увеличения резерва для присоединения потребителей отдельно по каждому центру питания напряжением 35 кВ и выше (квартальный)</t>
  </si>
  <si>
    <t>Фактическое снижение потерь, кВт x ч/год</t>
  </si>
  <si>
    <t>факт на конец отчетного периода</t>
  </si>
  <si>
    <t>Приложение N 20</t>
  </si>
  <si>
    <t>Форма 20. Отчет об исполнении финансового</t>
  </si>
  <si>
    <t>плана субъекта электроэнергетики (квартальный)</t>
  </si>
  <si>
    <t>Отклонение от плановых значений по итогам отчетного периода</t>
  </si>
  <si>
    <r>
      <t>Сальдо денежных средств по операционной деятельности (</t>
    </r>
    <r>
      <rPr>
        <sz val="12"/>
        <color rgb="FF0000FF"/>
        <rFont val="Times New Roman"/>
        <family val="1"/>
        <charset val="204"/>
      </rPr>
      <t>строка X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XI</t>
    </r>
    <r>
      <rPr>
        <sz val="12"/>
        <color theme="1"/>
        <rFont val="Times New Roman"/>
        <family val="1"/>
        <charset val="204"/>
      </rPr>
      <t>) всего, в том числе:</t>
    </r>
  </si>
  <si>
    <r>
      <t>Сальдо денежных средств по инвестиционным операциям всего (</t>
    </r>
    <r>
      <rPr>
        <sz val="12"/>
        <color rgb="FF0000FF"/>
        <rFont val="Times New Roman"/>
        <family val="1"/>
        <charset val="204"/>
      </rPr>
      <t>строка XII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XIII</t>
    </r>
    <r>
      <rPr>
        <sz val="12"/>
        <color theme="1"/>
        <rFont val="Times New Roman"/>
        <family val="1"/>
        <charset val="204"/>
      </rPr>
      <t>), всего в том числе</t>
    </r>
  </si>
  <si>
    <r>
      <t>Сальдо денежных средств по финансовым операциям всего (</t>
    </r>
    <r>
      <rPr>
        <sz val="12"/>
        <color rgb="FF0000FF"/>
        <rFont val="Times New Roman"/>
        <family val="1"/>
        <charset val="204"/>
      </rPr>
      <t>строка XIV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строка XV</t>
    </r>
    <r>
      <rPr>
        <sz val="12"/>
        <color theme="1"/>
        <rFont val="Times New Roman"/>
        <family val="1"/>
        <charset val="204"/>
      </rPr>
      <t>), в том числе</t>
    </r>
  </si>
  <si>
    <t>млн. кВт.ч</t>
  </si>
  <si>
    <t>Объем продукции, отпущенной с шин (коллекторов)</t>
  </si>
  <si>
    <t>тыс. Гкал</t>
  </si>
  <si>
    <t>Объем продукции, отпущенной (проданной) потребителям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</si>
  <si>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</si>
  <si>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</si>
  <si>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1.2.3.1.2.</t>
  </si>
  <si>
    <t>Векселя</t>
  </si>
  <si>
    <t>3.1.</t>
  </si>
  <si>
    <t>На инвестиции</t>
  </si>
  <si>
    <t>Резервный фонд</t>
  </si>
  <si>
    <t>Остаток на развитие</t>
  </si>
  <si>
    <t>IX</t>
  </si>
  <si>
    <r>
      <t>Прибыль до налогообложения без учета процентов к уплате и амортизации (</t>
    </r>
    <r>
      <rPr>
        <sz val="12"/>
        <color rgb="FF0000FF"/>
        <rFont val="Times New Roman"/>
        <family val="1"/>
        <charset val="204"/>
      </rPr>
      <t>строка V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4.2.2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строка II.IV</t>
    </r>
    <r>
      <rPr>
        <sz val="12"/>
        <color theme="1"/>
        <rFont val="Times New Roman"/>
        <family val="1"/>
        <charset val="204"/>
      </rPr>
      <t>)</t>
    </r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</si>
  <si>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</si>
  <si>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</si>
  <si>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</si>
  <si>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</si>
  <si>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r>
      <t xml:space="preserve">Отношение долга (кредиты и займы) на конец периода </t>
    </r>
    <r>
      <rPr>
        <sz val="12"/>
        <color rgb="FF0000FF"/>
        <rFont val="Times New Roman"/>
        <family val="1"/>
        <charset val="204"/>
      </rPr>
      <t>(строка 9.3)</t>
    </r>
    <r>
      <rPr>
        <sz val="12"/>
        <color theme="1"/>
        <rFont val="Times New Roman"/>
        <family val="1"/>
        <charset val="204"/>
      </rPr>
      <t xml:space="preserve"> к прибыли до налогообложения без учета процентов к уплате и амортизации </t>
    </r>
    <r>
      <rPr>
        <sz val="12"/>
        <color rgb="FF0000FF"/>
        <rFont val="Times New Roman"/>
        <family val="1"/>
        <charset val="204"/>
      </rPr>
      <t>(строка 9.1)</t>
    </r>
  </si>
  <si>
    <t>БЮДЖЕТ ДВИЖЕНИЯ ДЕНЕЖНЫХ СРЕДСТВ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</si>
  <si>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</si>
  <si>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</si>
  <si>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</si>
  <si>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</si>
  <si>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</si>
  <si>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</si>
  <si>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Оплата поставщикам топлива</t>
  </si>
  <si>
    <t>Оплата покупной энергии всего, в том числе: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</si>
  <si>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</si>
  <si>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</si>
  <si>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</si>
  <si>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</si>
  <si>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</si>
  <si>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</si>
  <si>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</si>
  <si>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</si>
  <si>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</si>
  <si>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</si>
  <si>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</si>
  <si>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</si>
  <si>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</si>
  <si>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</si>
  <si>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</si>
  <si>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</si>
  <si>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</si>
  <si>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</si>
  <si>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</si>
  <si>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</si>
  <si>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</si>
  <si>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</si>
  <si>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</si>
  <si>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</si>
  <si>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</si>
  <si>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</si>
  <si>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</si>
  <si>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</si>
  <si>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</si>
  <si>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</si>
  <si>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</si>
  <si>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</si>
  <si>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</si>
  <si>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</si>
  <si>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</si>
  <si>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</si>
  <si>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</si>
  <si>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</si>
  <si>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</si>
  <si>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</si>
  <si>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Поступления от эмиссии акций &lt;**&gt;</t>
  </si>
  <si>
    <t>Поступления от реализации финансовых инструментов всего, в том числе:</t>
  </si>
  <si>
    <t>облигационные займы</t>
  </si>
  <si>
    <t>вексели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</si>
  <si>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</si>
  <si>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</si>
  <si>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</si>
  <si>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</si>
  <si>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</si>
  <si>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</si>
  <si>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</t>
  </si>
  <si>
    <t>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</si>
  <si>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 xml:space="preserve">                    Год раскрытия информации: 2018 год</t>
  </si>
  <si>
    <t>в соответствии с приказом Министерства энергетики и тарифной политики РМ №116 от 31.10.2017 г. "Об утверждении инвестиционной программы АО "МЭК" на 2018-2024 годы"</t>
  </si>
  <si>
    <t>Отчет о реализации инвестиционной программы Акционерного общества «Мордовская электросетевая компания»</t>
  </si>
  <si>
    <t>Фактический объем финансирования капитальных вложений на 01.01.2018 г, млн. рублей (с НДС)</t>
  </si>
  <si>
    <t>Остаток финансирования капитальных вложений на 01.01.2018 г в прогнозных ценах соответствующих лет, млн. рублей (с НДС)</t>
  </si>
  <si>
    <t>Финансирование капитальных вложений 2018 года, млн. рублей (с НДС)</t>
  </si>
  <si>
    <t>Всего (год 2018)</t>
  </si>
  <si>
    <t>Освоение капитальных вложений 2018 года, млн. рублей (без НДС)</t>
  </si>
  <si>
    <t>Остаток освоения капитальных вложений на 01.01.2018 года.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</si>
  <si>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2018</t>
  </si>
  <si>
    <t>Ввод объектов инвестиционной деятельности (мощностей) в эксплуатацию в год 2018</t>
  </si>
  <si>
    <t>Вывод объектов инвестиционной деятельности (мощностей) из эксплуатации в 2018 год</t>
  </si>
  <si>
    <t>7.3.1.</t>
  </si>
  <si>
    <t>Финансирование капитальных вложений 2018 года. млн. рублей (с НДС)</t>
  </si>
  <si>
    <t>Освоение капитальных вложений 2018 года. млн. рублей (без НДС)</t>
  </si>
  <si>
    <t xml:space="preserve">              1. Финансово-экономическая модель деятельности субъекта электроэнергетики</t>
  </si>
  <si>
    <t>Инвестиционная программа Акционерного общества «Мордовская электросетевая компания»</t>
  </si>
  <si>
    <t xml:space="preserve">      Субъект Российской Федерации: Республика Мордовия</t>
  </si>
  <si>
    <t>1.1.1</t>
  </si>
  <si>
    <t>1.1.2</t>
  </si>
  <si>
    <t>1.1.3</t>
  </si>
  <si>
    <t>1.8.1</t>
  </si>
  <si>
    <t>1.8.2</t>
  </si>
  <si>
    <t>2.1.1</t>
  </si>
  <si>
    <t>2.1.2</t>
  </si>
  <si>
    <t>2.1.3</t>
  </si>
  <si>
    <t>2.8.1</t>
  </si>
  <si>
    <t>2.8.2</t>
  </si>
  <si>
    <t>2.1.4</t>
  </si>
  <si>
    <t>2.2.1</t>
  </si>
  <si>
    <t>2.2.2</t>
  </si>
  <si>
    <t>2.2.3</t>
  </si>
  <si>
    <t>2.2.4</t>
  </si>
  <si>
    <t>2.2.5</t>
  </si>
  <si>
    <t>2.5.1</t>
  </si>
  <si>
    <t>2.5.2</t>
  </si>
  <si>
    <t>2.6.1</t>
  </si>
  <si>
    <t>2.6.2</t>
  </si>
  <si>
    <t>2.6.3</t>
  </si>
  <si>
    <t>2.7.1</t>
  </si>
  <si>
    <t>2.7.2</t>
  </si>
  <si>
    <t>2.7.3</t>
  </si>
  <si>
    <t>3.1.1</t>
  </si>
  <si>
    <t>3.1.2</t>
  </si>
  <si>
    <t>3.1.3</t>
  </si>
  <si>
    <t>3.8.1</t>
  </si>
  <si>
    <t>3.8.2</t>
  </si>
  <si>
    <t>4.1.2</t>
  </si>
  <si>
    <t>4.1.1</t>
  </si>
  <si>
    <t>4.1.3</t>
  </si>
  <si>
    <t>4.1.4</t>
  </si>
  <si>
    <t>4.2.1</t>
  </si>
  <si>
    <t>4.2.2</t>
  </si>
  <si>
    <t>4.2.3</t>
  </si>
  <si>
    <t>4.2.4</t>
  </si>
  <si>
    <t>5.1.1</t>
  </si>
  <si>
    <t>5.1.2</t>
  </si>
  <si>
    <t>5.1.3</t>
  </si>
  <si>
    <t>5.8.1</t>
  </si>
  <si>
    <t>5.8.2</t>
  </si>
  <si>
    <t>6.1.1</t>
  </si>
  <si>
    <t>6.1.2</t>
  </si>
  <si>
    <t>6.1.3</t>
  </si>
  <si>
    <t>6.8.1</t>
  </si>
  <si>
    <t>6.8.2</t>
  </si>
  <si>
    <t>7.1.1</t>
  </si>
  <si>
    <t>7.1.2</t>
  </si>
  <si>
    <t>7.1.3</t>
  </si>
  <si>
    <t>7.8.1</t>
  </si>
  <si>
    <t>7.8.2</t>
  </si>
  <si>
    <t>15.1.3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</si>
  <si>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</si>
  <si>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</si>
  <si>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</si>
  <si>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</si>
  <si>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</si>
  <si>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</si>
  <si>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</si>
  <si>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</si>
  <si>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23.1.9</t>
  </si>
  <si>
    <t>23.2.1</t>
  </si>
  <si>
    <t>23.2.2</t>
  </si>
  <si>
    <t>23.2.3</t>
  </si>
  <si>
    <t>23.2.4</t>
  </si>
  <si>
    <t>23.2.5</t>
  </si>
  <si>
    <t>23.2.6</t>
  </si>
  <si>
    <t>23.2.7</t>
  </si>
  <si>
    <t>23.2.8</t>
  </si>
  <si>
    <t>23.2.9</t>
  </si>
  <si>
    <t>23.3.1</t>
  </si>
  <si>
    <t>23.3.2</t>
  </si>
  <si>
    <t>23.3.3</t>
  </si>
  <si>
    <t>23.3.4</t>
  </si>
  <si>
    <t>23.3.5</t>
  </si>
  <si>
    <t>23.3.6</t>
  </si>
  <si>
    <t>23.3.7</t>
  </si>
  <si>
    <t>24.6.1</t>
  </si>
  <si>
    <t>24.6.2</t>
  </si>
  <si>
    <t>24.7.1</t>
  </si>
  <si>
    <t>24.7.2</t>
  </si>
  <si>
    <t>24.7.3</t>
  </si>
  <si>
    <t>24.8.1</t>
  </si>
  <si>
    <t>24.8.2</t>
  </si>
  <si>
    <t>24.9.1</t>
  </si>
  <si>
    <t>24.9.2</t>
  </si>
  <si>
    <t>24.9.3</t>
  </si>
  <si>
    <t>25.1.1</t>
  </si>
  <si>
    <t>25.3.1</t>
  </si>
  <si>
    <t>27.1.1</t>
  </si>
  <si>
    <t>27.1.2</t>
  </si>
  <si>
    <t>27.1.3</t>
  </si>
  <si>
    <t>27.2.1</t>
  </si>
  <si>
    <t>27.2.2</t>
  </si>
  <si>
    <t>27.3.1</t>
  </si>
  <si>
    <t>27.3.2</t>
  </si>
  <si>
    <t>1.2.1</t>
  </si>
  <si>
    <t>1.2.2</t>
  </si>
  <si>
    <t>1.2.3</t>
  </si>
  <si>
    <t>1.4.1</t>
  </si>
  <si>
    <t>1.4.2</t>
  </si>
  <si>
    <t>3.2.1</t>
  </si>
  <si>
    <t>3.2.2</t>
  </si>
  <si>
    <t>3.2.3</t>
  </si>
  <si>
    <t>9.2.1</t>
  </si>
  <si>
    <t>9.3.1</t>
  </si>
  <si>
    <t>10.1.1</t>
  </si>
  <si>
    <t>10.1.2</t>
  </si>
  <si>
    <t>10.1.3</t>
  </si>
  <si>
    <t>10.8.1</t>
  </si>
  <si>
    <t>10.8.2</t>
  </si>
  <si>
    <t>10.9.1</t>
  </si>
  <si>
    <t>10.9.2</t>
  </si>
  <si>
    <t>11.2.1</t>
  </si>
  <si>
    <t>11.2.2</t>
  </si>
  <si>
    <t>11.2.3</t>
  </si>
  <si>
    <t>11.8.1</t>
  </si>
  <si>
    <t>12.2.1</t>
  </si>
  <si>
    <t>13.1.1</t>
  </si>
  <si>
    <t>13.1.2</t>
  </si>
  <si>
    <t>13.1.3</t>
  </si>
  <si>
    <t>13.1.4</t>
  </si>
  <si>
    <t>13.1.5</t>
  </si>
  <si>
    <t>13.1.6</t>
  </si>
  <si>
    <t>13.4.1</t>
  </si>
  <si>
    <t>14.2.1</t>
  </si>
  <si>
    <t>14.2.2</t>
  </si>
  <si>
    <t>14.2.3</t>
  </si>
  <si>
    <t>14.4.1</t>
  </si>
  <si>
    <t>14.4.2</t>
  </si>
  <si>
    <t>15.1.1</t>
  </si>
  <si>
    <t>15.1.2</t>
  </si>
  <si>
    <t>нд</t>
  </si>
  <si>
    <t>0.1</t>
  </si>
  <si>
    <t>Технологическое присоединение, всего</t>
  </si>
  <si>
    <t>0.2</t>
  </si>
  <si>
    <t>Реконструкция, модернизация,техническое перевооружение, всего</t>
  </si>
  <si>
    <t>0.3</t>
  </si>
  <si>
    <t>Инвестиционные проекты, реализация которых обуславоздушной линии электропередачи с самонесущими изолированными проводами напряжениемвается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</si>
  <si>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</si>
  <si>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</si>
  <si>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</si>
  <si>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</si>
  <si>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</si>
  <si>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</si>
  <si>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</si>
  <si>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</si>
  <si>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 не превышающей 15 кВт включительно, не включаемых в состав платы за технологическое присоединение (строительство "последней мили")</t>
  </si>
  <si>
    <t>H_МЭК_052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</si>
  <si>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</si>
  <si>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</si>
  <si>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</si>
  <si>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</si>
  <si>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</si>
  <si>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в пересечении производству электрической энергии всего, в том числе:</t>
  </si>
  <si>
    <t>1.1.3.1</t>
  </si>
  <si>
    <t>Наименование объекта в пересечении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</si>
  <si>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в пересечении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</si>
  <si>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в пересечении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</si>
  <si>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в пересечении производству электрической энергии всего, в том числе: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</si>
  <si>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</si>
  <si>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</si>
  <si>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</si>
  <si>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</si>
  <si>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</si>
  <si>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</si>
  <si>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</si>
  <si>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</si>
  <si>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</si>
  <si>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</si>
  <si>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</si>
  <si>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</si>
  <si>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</si>
  <si>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</si>
  <si>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линии электропередачи напряжением 0,4 кВ от ТП 10/0,4 кВ №203 по  ул.1-ый Первомайский переулок, ул.Красноармейская, ул.Ломоносова, ул.Байкузова ГП Рузаевка протяженностью 3,64 км</t>
  </si>
  <si>
    <t>H_МЭК_002</t>
  </si>
  <si>
    <t>Реконструкция линии электропередачи напряжением 0,4 кВ от ТП 10/0,4 кВ №205 по ул.Байкузова, ул.Чехова, ул.Пер.Байкузова, ул.Горького ГП Рузаевка протяженностью 2,9 км</t>
  </si>
  <si>
    <t>H_МЭК_007</t>
  </si>
  <si>
    <t>Реконструкция линии электропередачи напряжением 0,4 кВ от ТП 10/0,4 кВ №226 по ул.Горького ГП Рузаевка протяженностью 1 км</t>
  </si>
  <si>
    <t>H_МЭК_008</t>
  </si>
  <si>
    <t>H_МЭК_010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</si>
  <si>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</si>
  <si>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</si>
  <si>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</si>
  <si>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</si>
  <si>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</si>
  <si>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</si>
  <si>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</si>
  <si>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</si>
  <si>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</si>
  <si>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</si>
  <si>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</si>
  <si>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</si>
  <si>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</si>
  <si>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</si>
  <si>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</si>
  <si>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</si>
  <si>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</si>
  <si>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</si>
  <si>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</si>
  <si>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обуславоздушной линии электропередачи с самонесущими изолированными проводами напряжениемвается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</si>
  <si>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</si>
  <si>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</si>
  <si>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</si>
  <si>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</si>
  <si>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</si>
  <si>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</si>
  <si>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</si>
  <si>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</si>
  <si>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</si>
  <si>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Использование лизинга:</t>
  </si>
  <si>
    <t>1.6.1</t>
  </si>
  <si>
    <t>финансовая аренда (лизинг) электролаборатории передвижной ППУ на базе ГАЗ-33081 в количестве 1 ед.</t>
  </si>
  <si>
    <t>H_МЭК_037</t>
  </si>
  <si>
    <t>1.6.2</t>
  </si>
  <si>
    <t>финансовая аренда (лизинг) автотранспортных средств и спецтехники:</t>
  </si>
  <si>
    <t>1.6.2.1</t>
  </si>
  <si>
    <t>финансовая аренда (лизинг) транспортных средств УАЗ – 390995-460-04 (7 мест) в количестве 5 ед.</t>
  </si>
  <si>
    <t>H_МЭК_038</t>
  </si>
  <si>
    <t>1.6.2.2</t>
  </si>
  <si>
    <t>финансовая аренда (лизинг) транспортных средств УАЗ – 390945-480 (5 мест) в количестве 1 ед.</t>
  </si>
  <si>
    <t>H_МЭК_039</t>
  </si>
  <si>
    <t>1.6.2.3</t>
  </si>
  <si>
    <t>финансовая аренда (лизинг) транспортных средств КАМАЗ 43-118-46 в количестве 1 ед.</t>
  </si>
  <si>
    <t>H_МЭК_041</t>
  </si>
  <si>
    <t>1.6.2.4</t>
  </si>
  <si>
    <t>финансовая аренда (лизинг)  спецтехники автогидроподъемника ВС-18Т телескопического типа в количестве 1 ед.</t>
  </si>
  <si>
    <t>H_МЭК_042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</si>
  <si>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(Δртр.n), МВА</t>
  </si>
  <si>
    <t>Показатель увеличения мощности силовых трансформаторов на подстанциях в рамках осуществления технологического присоединения к электрическим сетям (Δртп_тр.n)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</si>
  <si>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сеям (Δlлэп.n), км</t>
  </si>
  <si>
    <t>Показатель увеличения протяженности линий электропередачи в рамках осуществления технологического присоединения к электрическим сеям (Δlтп_лэп.n)</t>
  </si>
  <si>
    <t>Показатель максимальной мощности присоединяемых потребителей электрической эенергии (Sпотр.тп)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</si>
  <si>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(Sэх.тп)</t>
  </si>
  <si>
    <t>Показатель степени загрузки трансформаторной подстанции (Кзагр.)</t>
  </si>
  <si>
    <t>Класс напряжения, кВ</t>
  </si>
  <si>
    <t>6-10</t>
  </si>
  <si>
    <t>Показатель замены силовых трансформаторов (Рз_тр.n)</t>
  </si>
  <si>
    <t>Показатель замены линий электропередачи (Lз_лэп.n), км</t>
  </si>
  <si>
    <t>Показатель замены выключателей (Вз.n), шт</t>
  </si>
  <si>
    <t>Показатель замены устройств компенсации реактивной мощности (Рз_укрм.n)</t>
  </si>
  <si>
    <t>Показатель оценки изменения доли полезного отпуска электрической энергии, который формируется посредством приборов учета электричекой энергии, включенных в систему сбора и передачи данных (ΔПОдист)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</si>
  <si>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</si>
  <si>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частоты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</si>
  <si>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</si>
  <si>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</si>
  <si>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(Nсд_тпр.нс)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</si>
  <si>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</si>
  <si>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напрвленных на выполнение приедписаний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</si>
  <si>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</si>
  <si>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</si>
  <si>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(Фхо), млн.руб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</si>
  <si>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</si>
  <si>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4.10</t>
  </si>
  <si>
    <t>4.11</t>
  </si>
  <si>
    <t>4.12</t>
  </si>
  <si>
    <t>4.13</t>
  </si>
  <si>
    <t>4.14</t>
  </si>
  <si>
    <t>4.15</t>
  </si>
  <si>
    <t>4.16</t>
  </si>
  <si>
    <t>5.10</t>
  </si>
  <si>
    <t>5.11</t>
  </si>
  <si>
    <t>5.12</t>
  </si>
  <si>
    <t>5.13</t>
  </si>
  <si>
    <t>5.14</t>
  </si>
  <si>
    <t>0</t>
  </si>
  <si>
    <t>Фактический объем освоения капитальных вложений на 01.01.2018 года в прогнозных ценах соответствующих лет, млн. рублей (без НДС)</t>
  </si>
  <si>
    <t>Принятие основных средств и нематериальных активов к бухгалтерскому учету в 2018 году</t>
  </si>
  <si>
    <t>факт на 01.01.2018 год</t>
  </si>
  <si>
    <t>факт 2017 года (на 01.01.2017 года)</t>
  </si>
  <si>
    <t>Приложение  № 8</t>
  </si>
  <si>
    <t>к приказу Министерства энергетики и тарифной политки                                                                            Республики Мордовия от «31» октября 2017 г. № 116</t>
  </si>
  <si>
    <t>Плановые показатели реализации инвестиционной программы</t>
  </si>
  <si>
    <r>
      <t>Раздел 3. Источники финансирования инвестиционной программы</t>
    </r>
    <r>
      <rPr>
        <vertAlign val="superscript"/>
        <sz val="12"/>
        <rFont val="Arial"/>
        <family val="1"/>
        <charset val="204"/>
      </rPr>
      <t>3)</t>
    </r>
  </si>
  <si>
    <t>Акционерное общество «Мордовская электросетевая компания»</t>
  </si>
  <si>
    <t>полное наименование субъекта электроэнергетики</t>
  </si>
  <si>
    <t>__________________Республика Мордовия________________________</t>
  </si>
  <si>
    <t>наименование субъекта Российской Федерации</t>
  </si>
  <si>
    <t>млн рублей</t>
  </si>
  <si>
    <t>№ п/п</t>
  </si>
  <si>
    <r>
      <t>2018 год</t>
    </r>
    <r>
      <rPr>
        <vertAlign val="superscript"/>
        <sz val="10"/>
        <rFont val="Times New Roman"/>
        <family val="1"/>
        <charset val="204"/>
      </rPr>
      <t>5)</t>
    </r>
  </si>
  <si>
    <r>
      <t>2019 год</t>
    </r>
    <r>
      <rPr>
        <vertAlign val="superscript"/>
        <sz val="10"/>
        <rFont val="Times New Roman"/>
        <family val="1"/>
        <charset val="204"/>
      </rPr>
      <t>5)</t>
    </r>
  </si>
  <si>
    <r>
      <t>2020 год</t>
    </r>
    <r>
      <rPr>
        <vertAlign val="superscript"/>
        <sz val="10"/>
        <rFont val="Times New Roman"/>
        <family val="1"/>
        <charset val="204"/>
      </rPr>
      <t>5)</t>
    </r>
  </si>
  <si>
    <r>
      <t>2021 год</t>
    </r>
    <r>
      <rPr>
        <vertAlign val="superscript"/>
        <sz val="10"/>
        <rFont val="Times New Roman"/>
        <family val="1"/>
        <charset val="204"/>
      </rPr>
      <t>5)</t>
    </r>
  </si>
  <si>
    <r>
      <t>2022 год</t>
    </r>
    <r>
      <rPr>
        <vertAlign val="superscript"/>
        <sz val="10"/>
        <rFont val="Times New Roman"/>
        <family val="1"/>
        <charset val="204"/>
      </rPr>
      <t>5)</t>
    </r>
  </si>
  <si>
    <r>
      <t>2023 год</t>
    </r>
    <r>
      <rPr>
        <vertAlign val="superscript"/>
        <sz val="10"/>
        <rFont val="Times New Roman"/>
        <family val="1"/>
        <charset val="204"/>
      </rPr>
      <t>5)</t>
    </r>
  </si>
  <si>
    <r>
      <t>2024 год</t>
    </r>
    <r>
      <rPr>
        <vertAlign val="superscript"/>
        <sz val="10"/>
        <rFont val="Times New Roman"/>
        <family val="1"/>
        <charset val="204"/>
      </rPr>
      <t>5)</t>
    </r>
  </si>
  <si>
    <t xml:space="preserve">Итого </t>
  </si>
  <si>
    <t>Утвержденный план</t>
  </si>
  <si>
    <t>3.1</t>
  </si>
  <si>
    <t>3.2</t>
  </si>
  <si>
    <t>3.3</t>
  </si>
  <si>
    <t>3.4</t>
  </si>
  <si>
    <t>3.5</t>
  </si>
  <si>
    <t>3.6</t>
  </si>
  <si>
    <t>3.7</t>
  </si>
  <si>
    <t>4</t>
  </si>
  <si>
    <t>Источники финансирования инвестиционной программы всего (I+II), в том числе:</t>
  </si>
  <si>
    <t>1.1</t>
  </si>
  <si>
    <t xml:space="preserve">инвестиционная составляющая в тарифах, в том числе: </t>
  </si>
  <si>
    <t xml:space="preserve">оказание услуг по передаче электрической энергии </t>
  </si>
  <si>
    <r>
      <rPr>
        <sz val="10"/>
        <rFont val="Arial"/>
        <family val="1"/>
        <charset val="204"/>
      </rPr>
      <t>наименование вида деятельности</t>
    </r>
    <r>
      <rPr>
        <vertAlign val="superscript"/>
        <sz val="10"/>
        <rFont val="Arial"/>
        <family val="1"/>
        <charset val="204"/>
      </rPr>
      <t>6)</t>
    </r>
  </si>
  <si>
    <t>…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</si>
  <si>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</si>
  <si>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</si>
  <si>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</si>
  <si>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</si>
  <si>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амортизация, учтенная в тарифах, всего, в том числе:</t>
  </si>
  <si>
    <t>прочая амортизация</t>
  </si>
  <si>
    <t>Возврат налога на добавленную стоимость</t>
  </si>
  <si>
    <t xml:space="preserve">Прочие собственные средства всего, в том числе: </t>
  </si>
  <si>
    <t>средства дополнительной эмиссии акций</t>
  </si>
  <si>
    <t>Привлеченные средства, всего, в том числе:</t>
  </si>
  <si>
    <t>2.1</t>
  </si>
  <si>
    <t>2.2</t>
  </si>
  <si>
    <t>2.3</t>
  </si>
  <si>
    <t>2.4</t>
  </si>
  <si>
    <t>2.5</t>
  </si>
  <si>
    <t>Бюджетное финансирование, всего, в том числе: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</si>
  <si>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</si>
  <si>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</si>
  <si>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</si>
  <si>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</si>
  <si>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</si>
  <si>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2.7</t>
  </si>
  <si>
    <t>Реконструкция линии электропередачи 0.4 кВ от ТП-222 по пер. 2-му и 3-му Закирпичным</t>
  </si>
  <si>
    <t>Замена выключателей МКП-110 - 1 шт</t>
  </si>
  <si>
    <t>Замена ТП-3301</t>
  </si>
  <si>
    <t xml:space="preserve">Строительство по ул. Карла Либкнехта КЛ-10 кВ до новой КТП 10/0,4 кВ 250 кВА, ВЛИ - 0,4 кВ от КТП до потребителя </t>
  </si>
  <si>
    <t>Строительство по ул. Строительная, КЛ-10 кВ до новой КТП 10/0,4 кВ 250 кВА, ВЛИ - 0,4 кВ от КТП до потребителя</t>
  </si>
  <si>
    <t>1.1.1.1.1.1</t>
  </si>
  <si>
    <t>1.1.1.1.1.2</t>
  </si>
  <si>
    <t>1.1.1.1.1.3</t>
  </si>
  <si>
    <t>1.1.1.1.1.4</t>
  </si>
  <si>
    <t>1.1.1.1.1.5</t>
  </si>
  <si>
    <t>1.1.1.1.1.6</t>
  </si>
  <si>
    <t>Строительство ЛЭП-0.4 кВ от ВЛ-0.4 кВ протяженностью 50 м по адресу: РМ, г.Рузаевка, ул.К.Маркса, д.54А</t>
  </si>
  <si>
    <t>Строительство ЛЭП-0.4 кВ от ВЛ-0.4 кВ протяженностью 200 м по адресу: РМ, г.Рузаевка, ул.Юрасова, д.14</t>
  </si>
  <si>
    <t>Строительство ЛЭП-0.4 кВ от ВЛ-0.4 кВ протяженностью 120 м по адресу: РМ, г.Рузаевка, ул.К.Маркса, д.80</t>
  </si>
  <si>
    <t>Строительство ЛЭП-0.4 кВ от ВЛ-0.4 кВ протяженностью 120 м по адресу: РМ, п.Кадошкино, ул.Наумова (проект)</t>
  </si>
  <si>
    <t>Строительство ЛЭП-0.4 кВ от ТП-1402 до границ участка ул.Смолиной, д.4</t>
  </si>
  <si>
    <t>Строительство участка ЛЭП-0.4 кВ от ВЛ-0.4 кВ протяженностью 200 м по адресу: РМ, г.Рузаевка, ул.Саранская (проект)</t>
  </si>
  <si>
    <t>Н_МЭК_2017_4</t>
  </si>
  <si>
    <t>Н_МЭК_2017_30</t>
  </si>
  <si>
    <t>Н_МЭК_2017_29</t>
  </si>
  <si>
    <t>Реконструкция линии электропередачи напряжением 0,4 кВ от ТП 10/0,4 кВ №304 по ул.Ставского, ул.Нагорная. ул.Ухтомского, ул.Гагарина, ул.Куйбышева ГП Рузаевка протяженностью 3,55 км</t>
  </si>
  <si>
    <t>Н_МЭК_2017_12</t>
  </si>
  <si>
    <t>ВЛ-0,4 кВ от ТП 10/0,4 кВ №226 по ул.Горького</t>
  </si>
  <si>
    <t>ВЛ-0,4 кВ от ТП 10/0,4 кВ №304 по ул.Ставского, ул.Нагорная. ул.Ухтомского, ул.Гагарина, ул.Куйбышева</t>
  </si>
  <si>
    <t>Н_МЭК-2017_23</t>
  </si>
  <si>
    <t>1.1.1.2.1</t>
  </si>
  <si>
    <t>Строительство ЛЭП-0.4 кВ от КТП-223 до ВРУ-0.4 кВ протяженностью 120 м по адресу: РМ. Г.Рузаевка, ул.Луначарского, д.179А</t>
  </si>
  <si>
    <t>1.1.1.2.2</t>
  </si>
  <si>
    <t>1.1.1.2.3</t>
  </si>
  <si>
    <t>1.1.1.2.4</t>
  </si>
  <si>
    <t>1.1.1.2.5</t>
  </si>
  <si>
    <t>Строительство ЛЭП-0.4 кВ от КТП-225  протяженностью 100 м по адресу: РМ. Г.Рузаевка, ул.40 лет Победы, д.6А</t>
  </si>
  <si>
    <t>Строительство ЛЭП-0.4 кВ от КТП-233 до ВРУ-0.4 кВ протяженностью 250 м по адресу: РМ. Г.Рузаевка, ул.Юрасова, д.23</t>
  </si>
  <si>
    <t>Строительство ЛЭП-0.4 кВ от КТП-331 до ВРУ-0.4 кВ протяженностью 250 м по адресу: РМ. Г.Рузаевка, ул.Маяковского, д.173</t>
  </si>
  <si>
    <t>Строительство ЛЭП-0.4 кВ от КТП-225 до ВРУ-0.4 кВ протяженностью 100 м по адресу: РМ. Г.Рузаевка, ул.40 лет Победы, д.6</t>
  </si>
  <si>
    <t>Отклонение от плановых значений по итогом отчетного периода</t>
  </si>
  <si>
    <t>в процентах %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</si>
  <si>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</si>
  <si>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</si>
  <si>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</si>
  <si>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</si>
  <si>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</si>
  <si>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</si>
  <si>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 xml:space="preserve"> по сомнительным долгам</t>
  </si>
  <si>
    <t>Прибыль (убыток) до налогообложения (строка III + строка IV) всего, в том числе:</t>
  </si>
  <si>
    <t>Результат деятельности</t>
  </si>
  <si>
    <t>Прибыль до налогообложения без учета процентов к уплате и амортизации (строкаV + строка 4.2.2 + строка II.IV)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</si>
  <si>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</si>
  <si>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</si>
  <si>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</si>
  <si>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</si>
  <si>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</si>
  <si>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</si>
  <si>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</si>
  <si>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</si>
  <si>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</si>
  <si>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</si>
  <si>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</si>
  <si>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x</t>
  </si>
  <si>
    <t>Заявленная мощность***/фактическая мощность всего, в том числе:</t>
  </si>
  <si>
    <t>Неободимая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</si>
  <si>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</si>
  <si>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</si>
  <si>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</si>
  <si>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</si>
  <si>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з</t>
  </si>
  <si>
    <t>Источники финансирования инвестиционной программы всего (строка I+строка II) всего, в том числе:</t>
  </si>
  <si>
    <t xml:space="preserve">    авансовое использование прибыли</t>
  </si>
  <si>
    <t>Возврат налога на добавленную стоимость****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</si>
  <si>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</si>
  <si>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</si>
  <si>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</si>
  <si>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</si>
  <si>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</si>
  <si>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</si>
  <si>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Строительство сетей для создания технической возможности ТП потребителей в соответствии с договорами на ТП</t>
  </si>
  <si>
    <t>1.1.1.1.1.7</t>
  </si>
  <si>
    <t>1.1.1.1.1.8</t>
  </si>
  <si>
    <t>1.1.1.1.1.9</t>
  </si>
  <si>
    <t xml:space="preserve">Строительство ЛЭП-0.4 кВ от ВЛ-0.4 кВ протяженностью 120 м по адресу: РМ, п.Кадошкино, ул.Наумова </t>
  </si>
  <si>
    <t>Строительство ЛЭП-0.4 кВ от КТП-225  протяженностью 100 м по адресу: РМ. Г.Рузаевка, ул.40 лет Победы, д.6А (Дрянцева С.В.)</t>
  </si>
  <si>
    <t>Строительство ЛЭП-0.4 кВ от КТП-331 до ВРУ-0.4 кВ протяженностью 250 м по адресу: РМ. Г.Рузаевка, ул.Маяковского, д.173 (ИП Белина)</t>
  </si>
  <si>
    <t>Строительство ЛЭП-0.4 кВ от КТП-233 до ВРУ-0.4 кВ протяженностью 250 м по адресу: РМ. Г.Рузаевка, ул.Юрасова, д.23 (ООО Мордовтехстрой)</t>
  </si>
  <si>
    <t>1.1.1.2.6</t>
  </si>
  <si>
    <t>Строительство ЛЭП-0.4 кВ от КТП-226 до ВРУ-0.4 кВ по адресу: РМ. Г.Рузаевка, ул.Горького, д.60 (ПАО СП Мордовстрой)</t>
  </si>
  <si>
    <t>Строительство участка ЛЭП-0.4 кВ протяженностью 200 м по адресу: РМ, г.Рузаевка ул.А.Филатова (Усольцева Л.Н.)</t>
  </si>
  <si>
    <t>Строительство участка ЛЭП-0.4 кВ протяженностью 50 м по адресу: РМ, г.Рузаевка ул.А.Филатова (Архипов А.Н.)</t>
  </si>
  <si>
    <t>Строительство ЛЭП-0.4 кВ протяженностью 60 м по адресу: РМ ул.Молодежная, д.22А (Родина Ю.В.)</t>
  </si>
  <si>
    <t>Строительство ЛЭП-0.4 кВ от ВЛ-0.4 кВ протяженностью 120 м по адресу: РМ, п.Кадошкино, ул.Наумова (Горсткин С.А.)</t>
  </si>
  <si>
    <t>1.1.1.1.1.10</t>
  </si>
  <si>
    <t>Строительство участка ЛЭП-0.4 кВ протяженностью 200 м по адресу: РМ, г.Рузаевка ул.Орловская, д.11 (Чуваткина О.В.)</t>
  </si>
  <si>
    <t>Строительство участка ВЛИ-0.4 кВ ГСК "Южный" протяженностью 150 м по адресу: РМ, г.Рузаевка ул.Тухачевского (Овчинникова Е.В., ТП гараж)</t>
  </si>
  <si>
    <t>Строительство участка ВЛИ-0.4 кВ  протяженностью 60 м по адресу: РМ, г.Рузаевка ул.Заречная, д.1 (Урдякова Э.Г.)</t>
  </si>
  <si>
    <t>Строительство участка ЛЭП-0.4 кВ  протяженностью 449 м по адресу: РМ, с.Лямбирь ул.Гражданская, д.20 (Абишева К.А.)</t>
  </si>
  <si>
    <t>Строительство участка ВЛИ-0.4 кВ  протяженностью 40 м по адресу: РМ, г.Рузаевка ул.Луговая, д.2а (ИП Одуев М.И.)</t>
  </si>
  <si>
    <t>Строительство участка ВЛИ-0.4 кВ по адресу: РМ, г.Рузаевка ул.Л.Толстого (РТРС) (проект)</t>
  </si>
  <si>
    <t>Строительство ЛЭП-0.4 кВ от КТП-225  протяженностью 100 м по адресу: РМ. Г.Рузаевка, ул.40 лет Победы, д.6 (Макулов А.С.)</t>
  </si>
  <si>
    <t>1.2.2.1.1</t>
  </si>
  <si>
    <t>1.2.2.1.2</t>
  </si>
  <si>
    <t>1.2.2.1.3</t>
  </si>
  <si>
    <t>1.2.2.1.4</t>
  </si>
  <si>
    <t>1.2.2.1.5</t>
  </si>
  <si>
    <t>1.1.1.1.1.11</t>
  </si>
  <si>
    <t>1.1.1.1.1.12</t>
  </si>
  <si>
    <t>1.1.1.1.1.13</t>
  </si>
  <si>
    <t>1.1.1.1.1.14</t>
  </si>
  <si>
    <t>1.1.1.1.1.15</t>
  </si>
  <si>
    <t>2018 год</t>
  </si>
  <si>
    <t>Строительство ЛЭП-0.4 кВ протяженностью 743м по адресу: РМ, г.Рузаевка, ул.Горького, 60 (ПАО СП Мордовстрой) (проект)</t>
  </si>
  <si>
    <t xml:space="preserve">Прочие привлеченные средства </t>
  </si>
  <si>
    <t>Строительство ВЛИ-0,4 кВ по ул. Зеленая, д.105</t>
  </si>
  <si>
    <t>Строительство ВЛИ-0,4 кВ по ул. Саранская, д.9</t>
  </si>
  <si>
    <t>Строительство ВЛИ-0,4 кВ по ул. Жукова, 25</t>
  </si>
  <si>
    <t>I_МЭК_054</t>
  </si>
  <si>
    <t>I_МЭК_055</t>
  </si>
  <si>
    <t>I_МЭК_056</t>
  </si>
  <si>
    <t>1.1.1.1.1.16</t>
  </si>
  <si>
    <t>1.1.1.1.1.17</t>
  </si>
  <si>
    <t>1.1.1.1.1.18</t>
  </si>
  <si>
    <t>за IV квартал 2018 года</t>
  </si>
  <si>
    <t>за IV квартал</t>
  </si>
  <si>
    <t>в соответствии с приказом Министерства энергетики и тарифной политики РМ №122 от 31.10.2018 г. "Об утверждении инвестиционной программы АО "МЭК" на 2018-2019 годы"</t>
  </si>
  <si>
    <t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t>
  </si>
  <si>
    <t>Плановые объемы 2018 года освоены  в полном объеме. Экономия по результатам конкурсной процедуры.</t>
  </si>
  <si>
    <t>Инвестиционный проект освоен в 2017 году.</t>
  </si>
  <si>
    <t>Переходящее мероприятие, на 2019 год,  в 2018 году проектирование. Мероприятие не профинансировано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t>
  </si>
  <si>
    <t>Финансирование освоенного инвестиционного проекта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</si>
</sst>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р_._-;\-* #,##0.00_р_._-;_-* &quot;-&quot;??_р_._-;_-@_-"/>
    <numFmt numFmtId="164" formatCode="_-* #,##0.00\ _₽_-;\-* #,##0.00\ _₽_-;_-* &quot;-&quot;??\ _₽_-;_-@_-"/>
    <numFmt numFmtId="165" formatCode="\ #,##0.00&quot;    &quot;;\-#,##0.00&quot;    &quot;;&quot; -&quot;#&quot;    &quot;;@\ "/>
    <numFmt numFmtId="166" formatCode="_-* #,##0.00_р_._-;\-* #,##0.00_р_._-;_-* \-??_р_._-;_-@_-"/>
    <numFmt numFmtId="167" formatCode="#,##0.00&quot;    &quot;;#,##0.00&quot;    &quot;;\-#&quot;    &quot;;@\ "/>
    <numFmt numFmtId="168" formatCode="#,##0\ ;\-#,##0\ "/>
    <numFmt numFmtId="169" formatCode="#,##0_ ;\-#,##0\ "/>
    <numFmt numFmtId="170" formatCode="\ #,##0.00&quot;     &quot;;\-#,##0.00&quot;     &quot;;&quot; -&quot;#&quot;     &quot;;@\ "/>
    <numFmt numFmtId="171" formatCode="_-* #,##0.00\ _р_._-;\-* #,##0.00\ _р_._-;_-* \-??\ _р_._-;_-@_-"/>
    <numFmt numFmtId="172" formatCode="#,##0.00&quot;     &quot;;#,##0.00&quot;     &quot;;\-#&quot;     &quot;;@\ "/>
    <numFmt numFmtId="173" formatCode="#,##0.000"/>
    <numFmt numFmtId="174" formatCode="0.000"/>
    <numFmt numFmtId="175" formatCode="_-* #,##0.00\ _р_._-;\-* #,##0.00\ _р_._-;_-* &quot;-&quot;??\ _р_._-;_-@_-"/>
    <numFmt numFmtId="176" formatCode="#,##0_);[Red]\(#,##0\)"/>
    <numFmt numFmtId="177" formatCode="_-* #,##0.00\ &quot;р.&quot;_-;\-* #,##0.00\ &quot;р.&quot;_-;_-* &quot;-&quot;??\ &quot;р.&quot;_-;_-@_-"/>
    <numFmt numFmtId="178" formatCode="0.0"/>
  </numFmts>
  <fonts count="1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392C6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SimSun"/>
      <family val="2"/>
      <charset val="204"/>
    </font>
    <font>
      <sz val="11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1"/>
      <charset val="204"/>
    </font>
    <font>
      <vertAlign val="superscript"/>
      <sz val="10"/>
      <name val="Arial"/>
      <family val="1"/>
      <charset val="204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 CYR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2"/>
      <name val="Arial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Narrow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 CYR"/>
    </font>
    <font>
      <b/>
      <sz val="12"/>
      <name val="Times New Roman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name val="Times New Roman CYR"/>
    </font>
    <font>
      <sz val="12"/>
      <name val="Times New Roman CYR"/>
    </font>
    <font>
      <sz val="14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1"/>
      <color rgb="FF808080"/>
      <name val="Calibri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rgb="FFF4F3F8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7"/>
        <bgColor indexed="34"/>
      </patternFill>
    </fill>
    <fill>
      <patternFill patternType="solid">
        <fgColor indexed="11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41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16"/>
        <bgColor indexed="37"/>
      </patternFill>
    </fill>
    <fill>
      <patternFill patternType="solid">
        <fgColor indexed="22"/>
        <bgColor indexed="24"/>
      </patternFill>
    </fill>
    <fill>
      <patternFill patternType="solid">
        <fgColor indexed="13"/>
        <bgColor indexed="51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rgb="FFF4F3F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17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Protection="0"/>
    <xf numFmtId="0" fontId="33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0" fillId="0" borderId="0"/>
    <xf numFmtId="0" fontId="20" fillId="0" borderId="0"/>
    <xf numFmtId="0" fontId="24" fillId="22" borderId="2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Protection="0"/>
    <xf numFmtId="0" fontId="33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Protection="0"/>
    <xf numFmtId="0" fontId="33" fillId="26" borderId="0" applyNumberFormat="0" applyBorder="0" applyAlignment="0" applyProtection="0"/>
    <xf numFmtId="0" fontId="34" fillId="8" borderId="23" applyNumberFormat="0" applyAlignment="0" applyProtection="0"/>
    <xf numFmtId="0" fontId="34" fillId="8" borderId="23" applyNumberFormat="0" applyAlignment="0" applyProtection="0"/>
    <xf numFmtId="0" fontId="34" fillId="8" borderId="23" applyNumberFormat="0" applyProtection="0"/>
    <xf numFmtId="0" fontId="34" fillId="8" borderId="23" applyNumberFormat="0" applyAlignment="0" applyProtection="0"/>
    <xf numFmtId="0" fontId="35" fillId="27" borderId="24" applyNumberFormat="0" applyAlignment="0" applyProtection="0"/>
    <xf numFmtId="0" fontId="35" fillId="27" borderId="24" applyNumberFormat="0" applyAlignment="0" applyProtection="0"/>
    <xf numFmtId="0" fontId="35" fillId="27" borderId="24" applyNumberFormat="0" applyProtection="0"/>
    <xf numFmtId="0" fontId="35" fillId="27" borderId="24" applyNumberFormat="0" applyAlignment="0" applyProtection="0"/>
    <xf numFmtId="0" fontId="36" fillId="27" borderId="23" applyNumberFormat="0" applyAlignment="0" applyProtection="0"/>
    <xf numFmtId="0" fontId="36" fillId="27" borderId="23" applyNumberFormat="0" applyAlignment="0" applyProtection="0"/>
    <xf numFmtId="0" fontId="36" fillId="27" borderId="23" applyNumberFormat="0" applyProtection="0"/>
    <xf numFmtId="0" fontId="36" fillId="27" borderId="23" applyNumberFormat="0" applyAlignment="0" applyProtection="0"/>
    <xf numFmtId="0" fontId="37" fillId="0" borderId="25" applyNumberFormat="0" applyFill="0" applyAlignment="0" applyProtection="0"/>
    <xf numFmtId="0" fontId="37" fillId="0" borderId="26" applyNumberFormat="0" applyFill="0" applyProtection="0"/>
    <xf numFmtId="0" fontId="38" fillId="0" borderId="27" applyNumberFormat="0" applyFill="0" applyAlignment="0" applyProtection="0"/>
    <xf numFmtId="0" fontId="38" fillId="0" borderId="28" applyNumberFormat="0" applyFill="0" applyProtection="0"/>
    <xf numFmtId="0" fontId="39" fillId="0" borderId="29" applyNumberFormat="0" applyFill="0" applyAlignment="0" applyProtection="0"/>
    <xf numFmtId="0" fontId="39" fillId="0" borderId="29" applyNumberFormat="0" applyFill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Protection="0"/>
    <xf numFmtId="0" fontId="40" fillId="0" borderId="30" applyNumberFormat="0" applyFill="0" applyAlignment="0" applyProtection="0"/>
    <xf numFmtId="0" fontId="40" fillId="0" borderId="31" applyNumberFormat="0" applyFill="0" applyProtection="0"/>
    <xf numFmtId="0" fontId="41" fillId="28" borderId="32" applyNumberFormat="0" applyAlignment="0" applyProtection="0"/>
    <xf numFmtId="0" fontId="41" fillId="28" borderId="32" applyNumberFormat="0" applyAlignment="0" applyProtection="0"/>
    <xf numFmtId="0" fontId="41" fillId="28" borderId="0" applyNumberFormat="0" applyProtection="0"/>
    <xf numFmtId="0" fontId="41" fillId="28" borderId="32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Protection="0"/>
    <xf numFmtId="0" fontId="43" fillId="29" borderId="0" applyNumberFormat="0" applyBorder="0" applyAlignment="0" applyProtection="0"/>
    <xf numFmtId="0" fontId="32" fillId="0" borderId="0"/>
    <xf numFmtId="0" fontId="44" fillId="0" borderId="0"/>
    <xf numFmtId="0" fontId="20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7" fillId="0" borderId="0"/>
    <xf numFmtId="0" fontId="4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4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Protection="0"/>
    <xf numFmtId="0" fontId="51" fillId="30" borderId="33" applyNumberFormat="0" applyAlignment="0" applyProtection="0"/>
    <xf numFmtId="0" fontId="20" fillId="30" borderId="33" applyNumberFormat="0" applyAlignment="0" applyProtection="0"/>
    <xf numFmtId="0" fontId="44" fillId="30" borderId="33" applyNumberFormat="0" applyProtection="0"/>
    <xf numFmtId="0" fontId="20" fillId="30" borderId="33" applyNumberFormat="0" applyAlignment="0" applyProtection="0"/>
    <xf numFmtId="9" fontId="51" fillId="0" borderId="0" applyFill="0" applyBorder="0" applyAlignment="0" applyProtection="0"/>
    <xf numFmtId="9" fontId="20" fillId="0" borderId="0" applyFill="0" applyBorder="0" applyAlignment="0" applyProtection="0"/>
    <xf numFmtId="9" fontId="44" fillId="0" borderId="0" applyFill="0" applyBorder="0" applyProtection="0"/>
    <xf numFmtId="9" fontId="51" fillId="0" borderId="0" applyFill="0" applyBorder="0" applyAlignment="0" applyProtection="0"/>
    <xf numFmtId="9" fontId="20" fillId="0" borderId="0" applyFill="0" applyBorder="0" applyAlignment="0" applyProtection="0"/>
    <xf numFmtId="9" fontId="44" fillId="0" borderId="0" applyFill="0" applyBorder="0" applyProtection="0"/>
    <xf numFmtId="0" fontId="52" fillId="0" borderId="34" applyNumberFormat="0" applyFill="0" applyAlignment="0" applyProtection="0"/>
    <xf numFmtId="0" fontId="52" fillId="0" borderId="0" applyNumberFormat="0" applyFill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8" fontId="51" fillId="0" borderId="0" applyFill="0" applyBorder="0" applyAlignment="0" applyProtection="0"/>
    <xf numFmtId="169" fontId="20" fillId="0" borderId="0" applyFill="0" applyBorder="0" applyAlignment="0" applyProtection="0"/>
    <xf numFmtId="168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5" fontId="51" fillId="0" borderId="0" applyFill="0" applyBorder="0" applyAlignment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70" fontId="51" fillId="0" borderId="0" applyFill="0" applyBorder="0" applyAlignment="0" applyProtection="0"/>
    <xf numFmtId="170" fontId="51" fillId="0" borderId="0" applyFill="0" applyBorder="0" applyAlignment="0" applyProtection="0"/>
    <xf numFmtId="170" fontId="51" fillId="0" borderId="0" applyFill="0" applyBorder="0" applyAlignment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0" fontId="51" fillId="0" borderId="0" applyFill="0" applyBorder="0" applyAlignment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0" fontId="51" fillId="0" borderId="0" applyFill="0" applyBorder="0" applyAlignment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Protection="0"/>
    <xf numFmtId="0" fontId="54" fillId="5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70" fillId="0" borderId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6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4" fillId="43" borderId="23" applyNumberFormat="0" applyAlignment="0" applyProtection="0"/>
    <xf numFmtId="0" fontId="34" fillId="36" borderId="23" applyNumberFormat="0" applyAlignment="0" applyProtection="0"/>
    <xf numFmtId="0" fontId="34" fillId="36" borderId="23" applyNumberFormat="0" applyAlignment="0" applyProtection="0"/>
    <xf numFmtId="0" fontId="35" fillId="48" borderId="24" applyNumberFormat="0" applyAlignment="0" applyProtection="0"/>
    <xf numFmtId="0" fontId="35" fillId="48" borderId="24" applyNumberFormat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41" fillId="59" borderId="32" applyNumberFormat="0" applyAlignment="0" applyProtection="0"/>
    <xf numFmtId="0" fontId="41" fillId="59" borderId="32" applyNumberFormat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44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51" fillId="22" borderId="33" applyNumberFormat="0" applyAlignment="0" applyProtection="0"/>
    <xf numFmtId="0" fontId="32" fillId="38" borderId="33" applyNumberFormat="0" applyFont="0" applyAlignment="0" applyProtection="0"/>
    <xf numFmtId="0" fontId="32" fillId="38" borderId="33" applyNumberFormat="0" applyFont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71" fillId="0" borderId="0"/>
    <xf numFmtId="43" fontId="4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9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34" fillId="43" borderId="23" applyNumberFormat="0" applyAlignment="0" applyProtection="0"/>
    <xf numFmtId="0" fontId="34" fillId="36" borderId="23" applyNumberFormat="0" applyAlignment="0" applyProtection="0"/>
    <xf numFmtId="0" fontId="34" fillId="36" borderId="23" applyNumberFormat="0" applyAlignment="0" applyProtection="0"/>
    <xf numFmtId="0" fontId="35" fillId="27" borderId="24" applyNumberFormat="0" applyAlignment="0" applyProtection="0"/>
    <xf numFmtId="0" fontId="35" fillId="48" borderId="24" applyNumberFormat="0" applyAlignment="0" applyProtection="0"/>
    <xf numFmtId="0" fontId="35" fillId="48" borderId="24" applyNumberFormat="0" applyAlignment="0" applyProtection="0"/>
    <xf numFmtId="0" fontId="36" fillId="27" borderId="23" applyNumberFormat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40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22" borderId="33" applyNumberFormat="0" applyAlignment="0" applyProtection="0"/>
    <xf numFmtId="0" fontId="32" fillId="38" borderId="33" applyNumberFormat="0" applyFont="0" applyAlignment="0" applyProtection="0"/>
    <xf numFmtId="0" fontId="32" fillId="38" borderId="33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4" fillId="22" borderId="2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8" borderId="23" applyNumberFormat="0" applyAlignment="0" applyProtection="0"/>
    <xf numFmtId="0" fontId="34" fillId="8" borderId="23" applyNumberFormat="0" applyAlignment="0" applyProtection="0"/>
    <xf numFmtId="0" fontId="34" fillId="8" borderId="23" applyNumberFormat="0" applyProtection="0"/>
    <xf numFmtId="0" fontId="34" fillId="8" borderId="23" applyNumberFormat="0" applyAlignment="0" applyProtection="0"/>
    <xf numFmtId="0" fontId="35" fillId="27" borderId="24" applyNumberFormat="0" applyAlignment="0" applyProtection="0"/>
    <xf numFmtId="0" fontId="35" fillId="27" borderId="24" applyNumberFormat="0" applyProtection="0"/>
    <xf numFmtId="0" fontId="35" fillId="27" borderId="24" applyNumberFormat="0" applyAlignment="0" applyProtection="0"/>
    <xf numFmtId="0" fontId="36" fillId="27" borderId="23" applyNumberFormat="0" applyAlignment="0" applyProtection="0"/>
    <xf numFmtId="0" fontId="36" fillId="27" borderId="23" applyNumberFormat="0" applyProtection="0"/>
    <xf numFmtId="0" fontId="36" fillId="27" borderId="23" applyNumberFormat="0" applyAlignment="0" applyProtection="0"/>
    <xf numFmtId="0" fontId="20" fillId="0" borderId="0"/>
    <xf numFmtId="0" fontId="20" fillId="0" borderId="0"/>
    <xf numFmtId="0" fontId="51" fillId="30" borderId="33" applyNumberFormat="0" applyAlignment="0" applyProtection="0"/>
    <xf numFmtId="0" fontId="20" fillId="30" borderId="33" applyNumberFormat="0" applyAlignment="0" applyProtection="0"/>
    <xf numFmtId="0" fontId="44" fillId="30" borderId="33" applyNumberFormat="0" applyProtection="0"/>
    <xf numFmtId="0" fontId="20" fillId="30" borderId="33" applyNumberFormat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0" fontId="20" fillId="0" borderId="0"/>
    <xf numFmtId="166" fontId="20" fillId="0" borderId="0" applyFill="0" applyBorder="0" applyAlignment="0" applyProtection="0"/>
    <xf numFmtId="169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0" fontId="34" fillId="43" borderId="23" applyNumberFormat="0" applyAlignment="0" applyProtection="0"/>
    <xf numFmtId="0" fontId="34" fillId="36" borderId="23" applyNumberFormat="0" applyAlignment="0" applyProtection="0"/>
    <xf numFmtId="0" fontId="34" fillId="36" borderId="23" applyNumberFormat="0" applyAlignment="0" applyProtection="0"/>
    <xf numFmtId="0" fontId="35" fillId="48" borderId="24" applyNumberFormat="0" applyAlignment="0" applyProtection="0"/>
    <xf numFmtId="0" fontId="35" fillId="48" borderId="24" applyNumberFormat="0" applyAlignment="0" applyProtection="0"/>
    <xf numFmtId="0" fontId="36" fillId="48" borderId="23" applyNumberFormat="0" applyAlignment="0" applyProtection="0"/>
    <xf numFmtId="0" fontId="36" fillId="48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22" borderId="33" applyNumberFormat="0" applyAlignment="0" applyProtection="0"/>
    <xf numFmtId="0" fontId="32" fillId="38" borderId="33" applyNumberFormat="0" applyFont="0" applyAlignment="0" applyProtection="0"/>
    <xf numFmtId="0" fontId="32" fillId="38" borderId="33" applyNumberFormat="0" applyFont="0" applyAlignment="0" applyProtection="0"/>
    <xf numFmtId="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2" fillId="3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4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4" fillId="43" borderId="23" applyNumberFormat="0" applyAlignment="0" applyProtection="0"/>
    <xf numFmtId="0" fontId="35" fillId="27" borderId="24" applyNumberFormat="0" applyAlignment="0" applyProtection="0"/>
    <xf numFmtId="0" fontId="36" fillId="27" borderId="23" applyNumberFormat="0" applyAlignment="0" applyProtection="0"/>
    <xf numFmtId="0" fontId="37" fillId="0" borderId="25" applyNumberFormat="0" applyFill="0" applyAlignment="0" applyProtection="0"/>
    <xf numFmtId="0" fontId="38" fillId="0" borderId="27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28" borderId="3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45" fillId="22" borderId="33" applyNumberFormat="0" applyAlignment="0" applyProtection="0"/>
    <xf numFmtId="0" fontId="45" fillId="22" borderId="33" applyNumberFormat="0" applyAlignment="0" applyProtection="0"/>
    <xf numFmtId="9" fontId="45" fillId="0" borderId="0" applyFill="0" applyBorder="0" applyAlignment="0" applyProtection="0"/>
    <xf numFmtId="9" fontId="45" fillId="0" borderId="0" applyFill="0" applyBorder="0" applyAlignment="0" applyProtection="0"/>
    <xf numFmtId="0" fontId="52" fillId="0" borderId="34" applyNumberFormat="0" applyFill="0" applyAlignment="0" applyProtection="0"/>
    <xf numFmtId="176" fontId="78" fillId="0" borderId="0">
      <alignment vertical="top"/>
    </xf>
    <xf numFmtId="0" fontId="53" fillId="0" borderId="0" applyNumberFormat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9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66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171" fontId="45" fillId="0" borderId="0" applyFill="0" applyBorder="0" applyAlignment="0" applyProtection="0"/>
    <xf numFmtId="0" fontId="54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20" fillId="0" borderId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4" fillId="8" borderId="23" applyNumberFormat="0" applyAlignment="0" applyProtection="0"/>
    <xf numFmtId="0" fontId="34" fillId="8" borderId="23" applyNumberFormat="0" applyAlignment="0" applyProtection="0"/>
    <xf numFmtId="0" fontId="34" fillId="8" borderId="23" applyNumberFormat="0" applyAlignment="0" applyProtection="0"/>
    <xf numFmtId="0" fontId="35" fillId="27" borderId="24" applyNumberFormat="0" applyAlignment="0" applyProtection="0"/>
    <xf numFmtId="0" fontId="36" fillId="27" borderId="23" applyNumberFormat="0" applyAlignment="0" applyProtection="0"/>
    <xf numFmtId="0" fontId="41" fillId="28" borderId="32" applyNumberFormat="0" applyAlignment="0" applyProtection="0"/>
    <xf numFmtId="0" fontId="43" fillId="29" borderId="0" applyNumberFormat="0" applyBorder="0" applyAlignment="0" applyProtection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4" borderId="0" applyNumberFormat="0" applyBorder="0" applyAlignment="0" applyProtection="0"/>
    <xf numFmtId="0" fontId="51" fillId="30" borderId="33" applyNumberFormat="0" applyAlignment="0" applyProtection="0"/>
    <xf numFmtId="0" fontId="20" fillId="30" borderId="33" applyNumberFormat="0" applyAlignment="0" applyProtection="0"/>
    <xf numFmtId="0" fontId="44" fillId="30" borderId="33" applyNumberFormat="0" applyProtection="0"/>
    <xf numFmtId="0" fontId="20" fillId="30" borderId="33" applyNumberFormat="0" applyAlignment="0" applyProtection="0"/>
    <xf numFmtId="9" fontId="20" fillId="0" borderId="0" applyFill="0" applyBorder="0" applyAlignment="0" applyProtection="0"/>
    <xf numFmtId="9" fontId="44" fillId="0" borderId="0" applyFill="0" applyBorder="0" applyProtection="0"/>
    <xf numFmtId="9" fontId="20" fillId="0" borderId="0" applyFill="0" applyBorder="0" applyAlignment="0" applyProtection="0"/>
    <xf numFmtId="9" fontId="44" fillId="0" borderId="0" applyFill="0" applyBorder="0" applyProtection="0"/>
    <xf numFmtId="0" fontId="20" fillId="0" borderId="0"/>
    <xf numFmtId="166" fontId="20" fillId="0" borderId="0" applyFill="0" applyBorder="0" applyAlignment="0" applyProtection="0"/>
    <xf numFmtId="167" fontId="44" fillId="0" borderId="0" applyFill="0" applyBorder="0" applyProtection="0"/>
    <xf numFmtId="169" fontId="20" fillId="0" borderId="0" applyFill="0" applyBorder="0" applyAlignment="0" applyProtection="0"/>
    <xf numFmtId="168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66" fontId="20" fillId="0" borderId="0" applyFill="0" applyBorder="0" applyAlignment="0" applyProtection="0"/>
    <xf numFmtId="167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171" fontId="20" fillId="0" borderId="0" applyFill="0" applyBorder="0" applyAlignment="0" applyProtection="0"/>
    <xf numFmtId="172" fontId="44" fillId="0" borderId="0" applyFill="0" applyBorder="0" applyProtection="0"/>
    <xf numFmtId="0" fontId="54" fillId="5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45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7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4" fillId="36" borderId="23" applyNumberFormat="0" applyAlignment="0" applyProtection="0"/>
    <xf numFmtId="0" fontId="35" fillId="48" borderId="24" applyNumberFormat="0" applyAlignment="0" applyProtection="0"/>
    <xf numFmtId="0" fontId="36" fillId="48" borderId="23" applyNumberFormat="0" applyAlignment="0" applyProtection="0"/>
    <xf numFmtId="0" fontId="41" fillId="59" borderId="32" applyNumberFormat="0" applyAlignment="0" applyProtection="0"/>
    <xf numFmtId="0" fontId="43" fillId="60" borderId="0" applyNumberFormat="0" applyBorder="0" applyAlignment="0" applyProtection="0"/>
    <xf numFmtId="0" fontId="49" fillId="37" borderId="0" applyNumberFormat="0" applyBorder="0" applyAlignment="0" applyProtection="0"/>
    <xf numFmtId="0" fontId="32" fillId="38" borderId="33" applyNumberFormat="0" applyFont="0" applyAlignment="0" applyProtection="0"/>
    <xf numFmtId="0" fontId="54" fillId="39" borderId="0" applyNumberFormat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0" fontId="40" fillId="0" borderId="61" applyNumberFormat="0" applyFill="0" applyAlignment="0" applyProtection="0"/>
    <xf numFmtId="0" fontId="36" fillId="48" borderId="59" applyNumberFormat="0" applyAlignment="0" applyProtection="0"/>
    <xf numFmtId="0" fontId="35" fillId="48" borderId="60" applyNumberFormat="0" applyAlignment="0" applyProtection="0"/>
    <xf numFmtId="0" fontId="34" fillId="36" borderId="59" applyNumberFormat="0" applyAlignment="0" applyProtection="0"/>
    <xf numFmtId="0" fontId="46" fillId="0" borderId="0"/>
    <xf numFmtId="0" fontId="19" fillId="0" borderId="0"/>
    <xf numFmtId="0" fontId="20" fillId="0" borderId="0"/>
    <xf numFmtId="9" fontId="81" fillId="0" borderId="0" applyFill="0" applyBorder="0" applyAlignment="0" applyProtection="0"/>
    <xf numFmtId="9" fontId="45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38" borderId="62" applyNumberFormat="0" applyFont="0" applyAlignment="0" applyProtection="0"/>
    <xf numFmtId="0" fontId="24" fillId="22" borderId="59" applyNumberFormat="0" applyAlignment="0" applyProtection="0"/>
    <xf numFmtId="0" fontId="34" fillId="8" borderId="59" applyNumberFormat="0" applyAlignment="0" applyProtection="0"/>
    <xf numFmtId="0" fontId="34" fillId="8" borderId="59" applyNumberFormat="0" applyAlignment="0" applyProtection="0"/>
    <xf numFmtId="0" fontId="34" fillId="8" borderId="59" applyNumberFormat="0" applyProtection="0"/>
    <xf numFmtId="0" fontId="34" fillId="8" borderId="59" applyNumberFormat="0" applyAlignment="0" applyProtection="0"/>
    <xf numFmtId="0" fontId="35" fillId="27" borderId="60" applyNumberFormat="0" applyAlignment="0" applyProtection="0"/>
    <xf numFmtId="0" fontId="35" fillId="27" borderId="60" applyNumberFormat="0" applyAlignment="0" applyProtection="0"/>
    <xf numFmtId="0" fontId="35" fillId="27" borderId="60" applyNumberFormat="0" applyProtection="0"/>
    <xf numFmtId="0" fontId="35" fillId="27" borderId="60" applyNumberFormat="0" applyAlignment="0" applyProtection="0"/>
    <xf numFmtId="0" fontId="36" fillId="27" borderId="59" applyNumberFormat="0" applyAlignment="0" applyProtection="0"/>
    <xf numFmtId="0" fontId="36" fillId="27" borderId="59" applyNumberFormat="0" applyAlignment="0" applyProtection="0"/>
    <xf numFmtId="0" fontId="36" fillId="27" borderId="59" applyNumberFormat="0" applyProtection="0"/>
    <xf numFmtId="0" fontId="36" fillId="27" borderId="59" applyNumberFormat="0" applyAlignment="0" applyProtection="0"/>
    <xf numFmtId="0" fontId="51" fillId="30" borderId="62" applyNumberFormat="0" applyAlignment="0" applyProtection="0"/>
    <xf numFmtId="0" fontId="20" fillId="30" borderId="62" applyNumberFormat="0" applyAlignment="0" applyProtection="0"/>
    <xf numFmtId="0" fontId="44" fillId="30" borderId="62" applyNumberFormat="0" applyProtection="0"/>
    <xf numFmtId="0" fontId="20" fillId="30" borderId="62" applyNumberFormat="0" applyAlignment="0" applyProtection="0"/>
    <xf numFmtId="0" fontId="34" fillId="43" borderId="59" applyNumberFormat="0" applyAlignment="0" applyProtection="0"/>
    <xf numFmtId="0" fontId="34" fillId="36" borderId="59" applyNumberFormat="0" applyAlignment="0" applyProtection="0"/>
    <xf numFmtId="0" fontId="34" fillId="36" borderId="59" applyNumberFormat="0" applyAlignment="0" applyProtection="0"/>
    <xf numFmtId="0" fontId="35" fillId="48" borderId="60" applyNumberFormat="0" applyAlignment="0" applyProtection="0"/>
    <xf numFmtId="0" fontId="35" fillId="48" borderId="60" applyNumberFormat="0" applyAlignment="0" applyProtection="0"/>
    <xf numFmtId="0" fontId="36" fillId="48" borderId="59" applyNumberFormat="0" applyAlignment="0" applyProtection="0"/>
    <xf numFmtId="0" fontId="36" fillId="48" borderId="59" applyNumberFormat="0" applyAlignment="0" applyProtection="0"/>
    <xf numFmtId="0" fontId="51" fillId="22" borderId="62" applyNumberFormat="0" applyAlignment="0" applyProtection="0"/>
    <xf numFmtId="0" fontId="32" fillId="38" borderId="62" applyNumberFormat="0" applyFont="0" applyAlignment="0" applyProtection="0"/>
    <xf numFmtId="0" fontId="32" fillId="38" borderId="62" applyNumberFormat="0" applyFont="0" applyAlignment="0" applyProtection="0"/>
    <xf numFmtId="0" fontId="34" fillId="43" borderId="59" applyNumberFormat="0" applyAlignment="0" applyProtection="0"/>
    <xf numFmtId="0" fontId="34" fillId="36" borderId="59" applyNumberFormat="0" applyAlignment="0" applyProtection="0"/>
    <xf numFmtId="0" fontId="34" fillId="36" borderId="59" applyNumberFormat="0" applyAlignment="0" applyProtection="0"/>
    <xf numFmtId="0" fontId="35" fillId="27" borderId="60" applyNumberFormat="0" applyAlignment="0" applyProtection="0"/>
    <xf numFmtId="0" fontId="35" fillId="48" borderId="60" applyNumberFormat="0" applyAlignment="0" applyProtection="0"/>
    <xf numFmtId="0" fontId="35" fillId="48" borderId="60" applyNumberFormat="0" applyAlignment="0" applyProtection="0"/>
    <xf numFmtId="0" fontId="36" fillId="27" borderId="59" applyNumberFormat="0" applyAlignment="0" applyProtection="0"/>
    <xf numFmtId="0" fontId="36" fillId="48" borderId="59" applyNumberFormat="0" applyAlignment="0" applyProtection="0"/>
    <xf numFmtId="0" fontId="36" fillId="48" borderId="59" applyNumberFormat="0" applyAlignment="0" applyProtection="0"/>
    <xf numFmtId="0" fontId="40" fillId="0" borderId="61" applyNumberFormat="0" applyFill="0" applyAlignment="0" applyProtection="0"/>
    <xf numFmtId="0" fontId="51" fillId="22" borderId="62" applyNumberFormat="0" applyAlignment="0" applyProtection="0"/>
    <xf numFmtId="0" fontId="32" fillId="38" borderId="62" applyNumberFormat="0" applyFont="0" applyAlignment="0" applyProtection="0"/>
    <xf numFmtId="0" fontId="32" fillId="38" borderId="62" applyNumberFormat="0" applyFont="0" applyAlignment="0" applyProtection="0"/>
    <xf numFmtId="0" fontId="24" fillId="22" borderId="59" applyNumberFormat="0" applyAlignment="0" applyProtection="0"/>
    <xf numFmtId="0" fontId="34" fillId="8" borderId="59" applyNumberFormat="0" applyAlignment="0" applyProtection="0"/>
    <xf numFmtId="0" fontId="34" fillId="8" borderId="59" applyNumberFormat="0" applyAlignment="0" applyProtection="0"/>
    <xf numFmtId="0" fontId="34" fillId="8" borderId="59" applyNumberFormat="0" applyProtection="0"/>
    <xf numFmtId="0" fontId="34" fillId="8" borderId="59" applyNumberFormat="0" applyAlignment="0" applyProtection="0"/>
    <xf numFmtId="0" fontId="35" fillId="27" borderId="60" applyNumberFormat="0" applyAlignment="0" applyProtection="0"/>
    <xf numFmtId="0" fontId="35" fillId="27" borderId="60" applyNumberFormat="0" applyProtection="0"/>
    <xf numFmtId="0" fontId="35" fillId="27" borderId="60" applyNumberFormat="0" applyAlignment="0" applyProtection="0"/>
    <xf numFmtId="0" fontId="36" fillId="27" borderId="59" applyNumberFormat="0" applyAlignment="0" applyProtection="0"/>
    <xf numFmtId="0" fontId="36" fillId="27" borderId="59" applyNumberFormat="0" applyProtection="0"/>
    <xf numFmtId="0" fontId="36" fillId="27" borderId="59" applyNumberFormat="0" applyAlignment="0" applyProtection="0"/>
    <xf numFmtId="0" fontId="51" fillId="30" borderId="62" applyNumberFormat="0" applyAlignment="0" applyProtection="0"/>
    <xf numFmtId="0" fontId="20" fillId="30" borderId="62" applyNumberFormat="0" applyAlignment="0" applyProtection="0"/>
    <xf numFmtId="0" fontId="44" fillId="30" borderId="62" applyNumberFormat="0" applyProtection="0"/>
    <xf numFmtId="0" fontId="20" fillId="30" borderId="62" applyNumberFormat="0" applyAlignment="0" applyProtection="0"/>
    <xf numFmtId="0" fontId="34" fillId="43" borderId="59" applyNumberFormat="0" applyAlignment="0" applyProtection="0"/>
    <xf numFmtId="0" fontId="34" fillId="36" borderId="59" applyNumberFormat="0" applyAlignment="0" applyProtection="0"/>
    <xf numFmtId="0" fontId="34" fillId="36" borderId="59" applyNumberFormat="0" applyAlignment="0" applyProtection="0"/>
    <xf numFmtId="0" fontId="35" fillId="48" borderId="60" applyNumberFormat="0" applyAlignment="0" applyProtection="0"/>
    <xf numFmtId="0" fontId="35" fillId="48" borderId="60" applyNumberFormat="0" applyAlignment="0" applyProtection="0"/>
    <xf numFmtId="0" fontId="36" fillId="48" borderId="59" applyNumberFormat="0" applyAlignment="0" applyProtection="0"/>
    <xf numFmtId="0" fontId="36" fillId="48" borderId="59" applyNumberFormat="0" applyAlignment="0" applyProtection="0"/>
    <xf numFmtId="0" fontId="51" fillId="22" borderId="62" applyNumberFormat="0" applyAlignment="0" applyProtection="0"/>
    <xf numFmtId="0" fontId="32" fillId="38" borderId="62" applyNumberFormat="0" applyFont="0" applyAlignment="0" applyProtection="0"/>
    <xf numFmtId="0" fontId="32" fillId="38" borderId="6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27" borderId="88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27" borderId="87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40" fillId="0" borderId="89" applyNumberFormat="0" applyFill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34" fillId="43" borderId="87" applyNumberFormat="0" applyAlignmen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40" fillId="0" borderId="89" applyNumberFormat="0" applyFill="0" applyAlignment="0" applyProtection="0"/>
    <xf numFmtId="0" fontId="45" fillId="22" borderId="90" applyNumberFormat="0" applyAlignment="0" applyProtection="0"/>
    <xf numFmtId="0" fontId="45" fillId="22" borderId="90" applyNumberFormat="0" applyAlignment="0" applyProtection="0"/>
    <xf numFmtId="0" fontId="24" fillId="22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Protection="0"/>
    <xf numFmtId="0" fontId="34" fillId="8" borderId="87" applyNumberFormat="0" applyAlignment="0" applyProtection="0"/>
    <xf numFmtId="0" fontId="35" fillId="27" borderId="88" applyNumberFormat="0" applyAlignment="0" applyProtection="0"/>
    <xf numFmtId="0" fontId="35" fillId="27" borderId="88" applyNumberFormat="0" applyProtection="0"/>
    <xf numFmtId="0" fontId="36" fillId="27" borderId="87" applyNumberFormat="0" applyAlignment="0" applyProtection="0"/>
    <xf numFmtId="0" fontId="36" fillId="27" borderId="87" applyNumberFormat="0" applyProtection="0"/>
    <xf numFmtId="0" fontId="40" fillId="0" borderId="91" applyNumberFormat="0" applyFill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44" fillId="30" borderId="90" applyNumberFormat="0" applyProtection="0"/>
    <xf numFmtId="0" fontId="20" fillId="30" borderId="90" applyNumberForma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27" borderId="88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27" borderId="87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40" fillId="0" borderId="89" applyNumberFormat="0" applyFill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24" fillId="22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Protection="0"/>
    <xf numFmtId="0" fontId="34" fillId="8" borderId="87" applyNumberFormat="0" applyAlignment="0" applyProtection="0"/>
    <xf numFmtId="0" fontId="35" fillId="27" borderId="88" applyNumberFormat="0" applyAlignment="0" applyProtection="0"/>
    <xf numFmtId="0" fontId="35" fillId="27" borderId="88" applyNumberForma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36" fillId="27" borderId="87" applyNumberFormat="0" applyProtection="0"/>
    <xf numFmtId="0" fontId="36" fillId="27" borderId="87" applyNumberFormat="0" applyAlignment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44" fillId="30" borderId="90" applyNumberFormat="0" applyProtection="0"/>
    <xf numFmtId="0" fontId="20" fillId="30" borderId="90" applyNumberForma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34" fillId="43" borderId="87" applyNumberFormat="0" applyAlignmen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45" fillId="22" borderId="90" applyNumberFormat="0" applyAlignment="0" applyProtection="0"/>
    <xf numFmtId="0" fontId="45" fillId="22" borderId="90" applyNumberFormat="0" applyAlignment="0" applyProtection="0"/>
    <xf numFmtId="0" fontId="40" fillId="0" borderId="89" applyNumberFormat="0" applyFill="0" applyAlignment="0" applyProtection="0"/>
    <xf numFmtId="0" fontId="36" fillId="48" borderId="87" applyNumberFormat="0" applyAlignment="0" applyProtection="0"/>
    <xf numFmtId="0" fontId="35" fillId="48" borderId="88" applyNumberFormat="0" applyAlignment="0" applyProtection="0"/>
    <xf numFmtId="0" fontId="34" fillId="36" borderId="87" applyNumberFormat="0" applyAlignment="0" applyProtection="0"/>
    <xf numFmtId="0" fontId="32" fillId="38" borderId="90" applyNumberFormat="0" applyFont="0" applyAlignment="0" applyProtection="0"/>
    <xf numFmtId="0" fontId="35" fillId="48" borderId="88" applyNumberFormat="0" applyAlignment="0" applyProtection="0"/>
    <xf numFmtId="0" fontId="24" fillId="22" borderId="87" applyNumberFormat="0" applyAlignment="0" applyProtection="0"/>
    <xf numFmtId="0" fontId="35" fillId="27" borderId="88" applyNumberFormat="0" applyAlignment="0" applyProtection="0"/>
    <xf numFmtId="0" fontId="34" fillId="8" borderId="87" applyNumberFormat="0" applyAlignment="0" applyProtection="0"/>
    <xf numFmtId="0" fontId="34" fillId="36" borderId="87" applyNumberFormat="0" applyAlignment="0" applyProtection="0"/>
    <xf numFmtId="0" fontId="44" fillId="30" borderId="90" applyNumberFormat="0" applyProtection="0"/>
    <xf numFmtId="0" fontId="34" fillId="8" borderId="87" applyNumberFormat="0" applyAlignment="0" applyProtection="0"/>
    <xf numFmtId="0" fontId="36" fillId="27" borderId="87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34" fillId="8" borderId="87" applyNumberFormat="0" applyAlignment="0" applyProtection="0"/>
    <xf numFmtId="0" fontId="40" fillId="0" borderId="89" applyNumberFormat="0" applyFill="0" applyAlignment="0" applyProtection="0"/>
    <xf numFmtId="0" fontId="34" fillId="36" borderId="87" applyNumberFormat="0" applyAlignment="0" applyProtection="0"/>
    <xf numFmtId="0" fontId="35" fillId="27" borderId="88" applyNumberFormat="0" applyAlignment="0" applyProtection="0"/>
    <xf numFmtId="0" fontId="34" fillId="8" borderId="87" applyNumberFormat="0" applyProtection="0"/>
    <xf numFmtId="0" fontId="20" fillId="30" borderId="90" applyNumberFormat="0" applyAlignment="0" applyProtection="0"/>
    <xf numFmtId="0" fontId="32" fillId="38" borderId="90" applyNumberFormat="0" applyFon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40" fillId="0" borderId="89" applyNumberFormat="0" applyFill="0" applyAlignment="0" applyProtection="0"/>
    <xf numFmtId="0" fontId="32" fillId="38" borderId="90" applyNumberFormat="0" applyFont="0" applyAlignment="0" applyProtection="0"/>
    <xf numFmtId="0" fontId="36" fillId="27" borderId="87" applyNumberFormat="0" applyAlignment="0" applyProtection="0"/>
    <xf numFmtId="0" fontId="32" fillId="38" borderId="90" applyNumberFormat="0" applyFont="0" applyAlignment="0" applyProtection="0"/>
    <xf numFmtId="0" fontId="35" fillId="48" borderId="88" applyNumberFormat="0" applyAlignment="0" applyProtection="0"/>
    <xf numFmtId="0" fontId="51" fillId="30" borderId="90" applyNumberFormat="0" applyAlignment="0" applyProtection="0"/>
    <xf numFmtId="0" fontId="32" fillId="38" borderId="90" applyNumberFormat="0" applyFont="0" applyAlignment="0" applyProtection="0"/>
    <xf numFmtId="0" fontId="36" fillId="27" borderId="87" applyNumberFormat="0" applyAlignment="0" applyProtection="0"/>
    <xf numFmtId="0" fontId="51" fillId="30" borderId="90" applyNumberFormat="0" applyAlignmen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36" fillId="27" borderId="87" applyNumberFormat="0" applyAlignment="0" applyProtection="0"/>
    <xf numFmtId="0" fontId="34" fillId="8" borderId="87" applyNumberFormat="0" applyAlignment="0" applyProtection="0"/>
    <xf numFmtId="0" fontId="32" fillId="38" borderId="90" applyNumberFormat="0" applyFont="0" applyAlignment="0" applyProtection="0"/>
    <xf numFmtId="0" fontId="34" fillId="8" borderId="87" applyNumberFormat="0" applyAlignment="0" applyProtection="0"/>
    <xf numFmtId="0" fontId="51" fillId="30" borderId="90" applyNumberFormat="0" applyAlignment="0" applyProtection="0"/>
    <xf numFmtId="0" fontId="40" fillId="0" borderId="91" applyNumberFormat="0" applyFill="0" applyProtection="0"/>
    <xf numFmtId="0" fontId="35" fillId="27" borderId="88" applyNumberFormat="0" applyAlignment="0" applyProtection="0"/>
    <xf numFmtId="0" fontId="35" fillId="48" borderId="88" applyNumberFormat="0" applyAlignment="0" applyProtection="0"/>
    <xf numFmtId="0" fontId="34" fillId="43" borderId="87" applyNumberFormat="0" applyAlignment="0" applyProtection="0"/>
    <xf numFmtId="0" fontId="51" fillId="22" borderId="90" applyNumberFormat="0" applyAlignment="0" applyProtection="0"/>
    <xf numFmtId="0" fontId="35" fillId="48" borderId="88" applyNumberFormat="0" applyAlignment="0" applyProtection="0"/>
    <xf numFmtId="0" fontId="34" fillId="8" borderId="87" applyNumberFormat="0" applyAlignment="0" applyProtection="0"/>
    <xf numFmtId="0" fontId="36" fillId="27" borderId="87" applyNumberForma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6" fillId="48" borderId="87" applyNumberFormat="0" applyAlignment="0" applyProtection="0"/>
    <xf numFmtId="0" fontId="40" fillId="0" borderId="89" applyNumberFormat="0" applyFill="0" applyAlignment="0" applyProtection="0"/>
    <xf numFmtId="0" fontId="45" fillId="22" borderId="90" applyNumberFormat="0" applyAlignment="0" applyProtection="0"/>
    <xf numFmtId="0" fontId="35" fillId="48" borderId="88" applyNumberFormat="0" applyAlignment="0" applyProtection="0"/>
    <xf numFmtId="0" fontId="20" fillId="30" borderId="90" applyNumberFormat="0" applyAlignment="0" applyProtection="0"/>
    <xf numFmtId="0" fontId="36" fillId="27" borderId="87" applyNumberFormat="0" applyAlignment="0" applyProtection="0"/>
    <xf numFmtId="0" fontId="35" fillId="27" borderId="88" applyNumberFormat="0" applyAlignment="0" applyProtection="0"/>
    <xf numFmtId="0" fontId="34" fillId="36" borderId="87" applyNumberFormat="0" applyAlignment="0" applyProtection="0"/>
    <xf numFmtId="0" fontId="44" fillId="30" borderId="90" applyNumberFormat="0" applyProtection="0"/>
    <xf numFmtId="0" fontId="24" fillId="22" borderId="87" applyNumberFormat="0" applyAlignment="0" applyProtection="0"/>
    <xf numFmtId="0" fontId="35" fillId="48" borderId="88" applyNumberFormat="0" applyAlignment="0" applyProtection="0"/>
    <xf numFmtId="0" fontId="34" fillId="8" borderId="87" applyNumberFormat="0" applyAlignment="0" applyProtection="0"/>
    <xf numFmtId="0" fontId="36" fillId="27" borderId="87" applyNumberFormat="0" applyProtection="0"/>
    <xf numFmtId="0" fontId="35" fillId="27" borderId="88" applyNumberFormat="0" applyProtection="0"/>
    <xf numFmtId="0" fontId="34" fillId="36" borderId="87" applyNumberFormat="0" applyAlignment="0" applyProtection="0"/>
    <xf numFmtId="0" fontId="36" fillId="48" borderId="87" applyNumberFormat="0" applyAlignment="0" applyProtection="0"/>
    <xf numFmtId="0" fontId="34" fillId="8" borderId="87" applyNumberFormat="0" applyAlignment="0" applyProtection="0"/>
    <xf numFmtId="0" fontId="35" fillId="48" borderId="88" applyNumberFormat="0" applyAlignment="0" applyProtection="0"/>
    <xf numFmtId="0" fontId="24" fillId="22" borderId="87" applyNumberFormat="0" applyAlignment="0" applyProtection="0"/>
    <xf numFmtId="0" fontId="34" fillId="36" borderId="87" applyNumberFormat="0" applyAlignment="0" applyProtection="0"/>
    <xf numFmtId="0" fontId="20" fillId="30" borderId="90" applyNumberFormat="0" applyAlignment="0" applyProtection="0"/>
    <xf numFmtId="0" fontId="35" fillId="27" borderId="88" applyNumberFormat="0" applyAlignment="0" applyProtection="0"/>
    <xf numFmtId="0" fontId="35" fillId="27" borderId="88" applyNumberFormat="0" applyAlignment="0" applyProtection="0"/>
    <xf numFmtId="0" fontId="20" fillId="30" borderId="90" applyNumberFormat="0" applyAlignment="0" applyProtection="0"/>
    <xf numFmtId="0" fontId="34" fillId="43" borderId="87" applyNumberFormat="0" applyAlignment="0" applyProtection="0"/>
    <xf numFmtId="0" fontId="35" fillId="48" borderId="88" applyNumberFormat="0" applyAlignment="0" applyProtection="0"/>
    <xf numFmtId="0" fontId="51" fillId="22" borderId="90" applyNumberFormat="0" applyAlignment="0" applyProtection="0"/>
    <xf numFmtId="0" fontId="36" fillId="48" borderId="87" applyNumberFormat="0" applyAlignment="0" applyProtection="0"/>
    <xf numFmtId="0" fontId="44" fillId="30" borderId="90" applyNumberFormat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35" fillId="48" borderId="88" applyNumberFormat="0" applyAlignment="0" applyProtection="0"/>
    <xf numFmtId="0" fontId="32" fillId="38" borderId="90" applyNumberFormat="0" applyFont="0" applyAlignment="0" applyProtection="0"/>
    <xf numFmtId="0" fontId="34" fillId="36" borderId="87" applyNumberFormat="0" applyAlignment="0" applyProtection="0"/>
    <xf numFmtId="0" fontId="20" fillId="30" borderId="90" applyNumberFormat="0" applyAlignment="0" applyProtection="0"/>
    <xf numFmtId="0" fontId="35" fillId="27" borderId="88" applyNumberFormat="0" applyAlignment="0" applyProtection="0"/>
    <xf numFmtId="0" fontId="36" fillId="27" borderId="87" applyNumberFormat="0" applyProtection="0"/>
    <xf numFmtId="0" fontId="36" fillId="48" borderId="87" applyNumberFormat="0" applyAlignment="0" applyProtection="0"/>
    <xf numFmtId="0" fontId="35" fillId="27" borderId="88" applyNumberFormat="0" applyAlignment="0" applyProtection="0"/>
    <xf numFmtId="0" fontId="32" fillId="38" borderId="90" applyNumberFormat="0" applyFont="0" applyAlignment="0" applyProtection="0"/>
    <xf numFmtId="0" fontId="36" fillId="48" borderId="87" applyNumberFormat="0" applyAlignment="0" applyProtection="0"/>
    <xf numFmtId="0" fontId="36" fillId="27" borderId="87" applyNumberFormat="0" applyAlignment="0" applyProtection="0"/>
    <xf numFmtId="0" fontId="36" fillId="48" borderId="87" applyNumberFormat="0" applyAlignment="0" applyProtection="0"/>
    <xf numFmtId="0" fontId="24" fillId="22" borderId="87" applyNumberFormat="0" applyAlignment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34" fillId="36" borderId="87" applyNumberFormat="0" applyAlignment="0" applyProtection="0"/>
    <xf numFmtId="0" fontId="20" fillId="30" borderId="90" applyNumberFormat="0" applyAlignment="0" applyProtection="0"/>
    <xf numFmtId="0" fontId="32" fillId="38" borderId="90" applyNumberFormat="0" applyFont="0" applyAlignment="0" applyProtection="0"/>
    <xf numFmtId="0" fontId="35" fillId="27" borderId="88" applyNumberFormat="0" applyAlignment="0" applyProtection="0"/>
    <xf numFmtId="0" fontId="36" fillId="48" borderId="87" applyNumberFormat="0" applyAlignment="0" applyProtection="0"/>
    <xf numFmtId="0" fontId="36" fillId="27" borderId="87" applyNumberFormat="0" applyAlignment="0" applyProtection="0"/>
    <xf numFmtId="0" fontId="32" fillId="38" borderId="90" applyNumberFormat="0" applyFont="0" applyAlignment="0" applyProtection="0"/>
    <xf numFmtId="0" fontId="51" fillId="22" borderId="90" applyNumberForma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8" borderId="87" applyNumberFormat="0" applyAlignment="0" applyProtection="0"/>
    <xf numFmtId="0" fontId="34" fillId="36" borderId="87" applyNumberFormat="0" applyAlignment="0" applyProtection="0"/>
    <xf numFmtId="0" fontId="32" fillId="38" borderId="90" applyNumberFormat="0" applyFont="0" applyAlignment="0" applyProtection="0"/>
    <xf numFmtId="0" fontId="20" fillId="30" borderId="90" applyNumberFormat="0" applyAlignment="0" applyProtection="0"/>
    <xf numFmtId="0" fontId="24" fillId="22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Protection="0"/>
    <xf numFmtId="0" fontId="34" fillId="8" borderId="87" applyNumberFormat="0" applyAlignment="0" applyProtection="0"/>
    <xf numFmtId="0" fontId="35" fillId="27" borderId="88" applyNumberFormat="0" applyAlignment="0" applyProtection="0"/>
    <xf numFmtId="0" fontId="35" fillId="27" borderId="88" applyNumberFormat="0" applyAlignment="0" applyProtection="0"/>
    <xf numFmtId="0" fontId="35" fillId="27" borderId="88" applyNumberForma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36" fillId="27" borderId="87" applyNumberFormat="0" applyAlignment="0" applyProtection="0"/>
    <xf numFmtId="0" fontId="36" fillId="27" borderId="87" applyNumberFormat="0" applyProtection="0"/>
    <xf numFmtId="0" fontId="36" fillId="27" borderId="87" applyNumberFormat="0" applyAlignment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44" fillId="30" borderId="90" applyNumberFormat="0" applyProtection="0"/>
    <xf numFmtId="0" fontId="20" fillId="30" borderId="90" applyNumberForma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27" borderId="88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27" borderId="87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40" fillId="0" borderId="89" applyNumberFormat="0" applyFill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24" fillId="22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Protection="0"/>
    <xf numFmtId="0" fontId="34" fillId="8" borderId="87" applyNumberFormat="0" applyAlignment="0" applyProtection="0"/>
    <xf numFmtId="0" fontId="35" fillId="27" borderId="88" applyNumberFormat="0" applyAlignment="0" applyProtection="0"/>
    <xf numFmtId="0" fontId="35" fillId="27" borderId="88" applyNumberForma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36" fillId="27" borderId="87" applyNumberFormat="0" applyProtection="0"/>
    <xf numFmtId="0" fontId="36" fillId="27" borderId="87" applyNumberFormat="0" applyAlignment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44" fillId="30" borderId="90" applyNumberFormat="0" applyProtection="0"/>
    <xf numFmtId="0" fontId="20" fillId="30" borderId="90" applyNumberFormat="0" applyAlignment="0" applyProtection="0"/>
    <xf numFmtId="0" fontId="34" fillId="43" borderId="87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6" fillId="48" borderId="87" applyNumberFormat="0" applyAlignment="0" applyProtection="0"/>
    <xf numFmtId="0" fontId="36" fillId="48" borderId="87" applyNumberFormat="0" applyAlignment="0" applyProtection="0"/>
    <xf numFmtId="0" fontId="51" fillId="22" borderId="90" applyNumberForma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32" fillId="38" borderId="90" applyNumberFormat="0" applyFont="0" applyAlignment="0" applyProtection="0"/>
    <xf numFmtId="0" fontId="34" fillId="43" borderId="87" applyNumberFormat="0" applyAlignment="0" applyProtection="0"/>
    <xf numFmtId="0" fontId="34" fillId="8" borderId="87" applyNumberFormat="0" applyAlignment="0" applyProtection="0"/>
    <xf numFmtId="0" fontId="35" fillId="27" borderId="88" applyNumberFormat="0" applyAlignment="0" applyProtection="0"/>
    <xf numFmtId="0" fontId="45" fillId="22" borderId="90" applyNumberFormat="0" applyAlignment="0" applyProtection="0"/>
    <xf numFmtId="0" fontId="34" fillId="36" borderId="87" applyNumberFormat="0" applyAlignment="0" applyProtection="0"/>
    <xf numFmtId="0" fontId="34" fillId="36" borderId="87" applyNumberFormat="0" applyAlignment="0" applyProtection="0"/>
    <xf numFmtId="0" fontId="35" fillId="27" borderId="88" applyNumberFormat="0" applyAlignment="0" applyProtection="0"/>
    <xf numFmtId="0" fontId="35" fillId="27" borderId="88" applyNumberFormat="0" applyAlignment="0" applyProtection="0"/>
    <xf numFmtId="0" fontId="36" fillId="48" borderId="87" applyNumberFormat="0" applyAlignment="0" applyProtection="0"/>
    <xf numFmtId="0" fontId="51" fillId="22" borderId="90" applyNumberFormat="0" applyAlignment="0" applyProtection="0"/>
    <xf numFmtId="0" fontId="36" fillId="27" borderId="87" applyNumberFormat="0" applyAlignment="0" applyProtection="0"/>
    <xf numFmtId="0" fontId="44" fillId="30" borderId="90" applyNumberFormat="0" applyProtection="0"/>
    <xf numFmtId="0" fontId="35" fillId="27" borderId="88" applyNumberFormat="0" applyAlignment="0" applyProtection="0"/>
    <xf numFmtId="0" fontId="34" fillId="43" borderId="87" applyNumberFormat="0" applyAlignment="0" applyProtection="0"/>
    <xf numFmtId="0" fontId="36" fillId="27" borderId="87" applyNumberFormat="0" applyAlignment="0" applyProtection="0"/>
    <xf numFmtId="0" fontId="32" fillId="38" borderId="90" applyNumberFormat="0" applyFont="0" applyAlignment="0" applyProtection="0"/>
    <xf numFmtId="0" fontId="40" fillId="0" borderId="89" applyNumberFormat="0" applyFill="0" applyAlignment="0" applyProtection="0"/>
    <xf numFmtId="0" fontId="36" fillId="27" borderId="87" applyNumberFormat="0" applyAlignment="0" applyProtection="0"/>
    <xf numFmtId="0" fontId="51" fillId="22" borderId="90" applyNumberFormat="0" applyAlignment="0" applyProtection="0"/>
    <xf numFmtId="0" fontId="40" fillId="0" borderId="89" applyNumberFormat="0" applyFill="0" applyAlignment="0" applyProtection="0"/>
    <xf numFmtId="0" fontId="35" fillId="48" borderId="88" applyNumberFormat="0" applyAlignment="0" applyProtection="0"/>
    <xf numFmtId="0" fontId="44" fillId="30" borderId="90" applyNumberFormat="0" applyProtection="0"/>
    <xf numFmtId="0" fontId="34" fillId="43" borderId="87" applyNumberFormat="0" applyAlignment="0" applyProtection="0"/>
    <xf numFmtId="0" fontId="35" fillId="27" borderId="88" applyNumberFormat="0" applyProtection="0"/>
    <xf numFmtId="0" fontId="36" fillId="48" borderId="87" applyNumberFormat="0" applyAlignment="0" applyProtection="0"/>
    <xf numFmtId="0" fontId="34" fillId="36" borderId="87" applyNumberFormat="0" applyAlignment="0" applyProtection="0"/>
    <xf numFmtId="0" fontId="32" fillId="38" borderId="90" applyNumberFormat="0" applyFont="0" applyAlignment="0" applyProtection="0"/>
    <xf numFmtId="0" fontId="51" fillId="22" borderId="90" applyNumberFormat="0" applyAlignment="0" applyProtection="0"/>
    <xf numFmtId="0" fontId="36" fillId="27" borderId="87" applyNumberFormat="0" applyProtection="0"/>
    <xf numFmtId="0" fontId="20" fillId="30" borderId="90" applyNumberFormat="0" applyAlignment="0" applyProtection="0"/>
    <xf numFmtId="0" fontId="34" fillId="8" borderId="87" applyNumberFormat="0" applyAlignment="0" applyProtection="0"/>
    <xf numFmtId="0" fontId="34" fillId="36" borderId="87" applyNumberFormat="0" applyAlignment="0" applyProtection="0"/>
    <xf numFmtId="0" fontId="34" fillId="8" borderId="87" applyNumberFormat="0" applyProtection="0"/>
    <xf numFmtId="0" fontId="36" fillId="48" borderId="87" applyNumberFormat="0" applyAlignment="0" applyProtection="0"/>
    <xf numFmtId="0" fontId="35" fillId="48" borderId="88" applyNumberFormat="0" applyAlignment="0" applyProtection="0"/>
    <xf numFmtId="0" fontId="36" fillId="27" borderId="87" applyNumberFormat="0" applyAlignment="0" applyProtection="0"/>
    <xf numFmtId="0" fontId="36" fillId="27" borderId="87" applyNumberFormat="0" applyAlignment="0" applyProtection="0"/>
    <xf numFmtId="0" fontId="35" fillId="27" borderId="88" applyNumberFormat="0" applyProtection="0"/>
    <xf numFmtId="0" fontId="36" fillId="48" borderId="87" applyNumberFormat="0" applyAlignment="0" applyProtection="0"/>
    <xf numFmtId="0" fontId="34" fillId="36" borderId="87" applyNumberFormat="0" applyAlignment="0" applyProtection="0"/>
    <xf numFmtId="0" fontId="36" fillId="48" borderId="87" applyNumberFormat="0" applyAlignment="0" applyProtection="0"/>
    <xf numFmtId="0" fontId="34" fillId="8" borderId="87" applyNumberForma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5" fillId="27" borderId="88" applyNumberFormat="0" applyProtection="0"/>
    <xf numFmtId="0" fontId="36" fillId="48" borderId="87" applyNumberFormat="0" applyAlignment="0" applyProtection="0"/>
    <xf numFmtId="0" fontId="34" fillId="8" borderId="87" applyNumberFormat="0" applyProtection="0"/>
    <xf numFmtId="0" fontId="32" fillId="38" borderId="90" applyNumberFormat="0" applyFont="0" applyAlignment="0" applyProtection="0"/>
    <xf numFmtId="0" fontId="34" fillId="36" borderId="87" applyNumberFormat="0" applyAlignment="0" applyProtection="0"/>
    <xf numFmtId="0" fontId="36" fillId="27" borderId="87" applyNumberFormat="0" applyAlignment="0" applyProtection="0"/>
    <xf numFmtId="0" fontId="32" fillId="38" borderId="90" applyNumberFormat="0" applyFont="0" applyAlignment="0" applyProtection="0"/>
    <xf numFmtId="0" fontId="34" fillId="43" borderId="87" applyNumberFormat="0" applyAlignment="0" applyProtection="0"/>
    <xf numFmtId="0" fontId="35" fillId="48" borderId="88" applyNumberFormat="0" applyAlignment="0" applyProtection="0"/>
    <xf numFmtId="0" fontId="35" fillId="48" borderId="88" applyNumberFormat="0" applyAlignment="0" applyProtection="0"/>
    <xf numFmtId="0" fontId="34" fillId="43" borderId="87" applyNumberFormat="0" applyAlignmen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40" fillId="0" borderId="89" applyNumberFormat="0" applyFill="0" applyAlignment="0" applyProtection="0"/>
    <xf numFmtId="0" fontId="45" fillId="22" borderId="90" applyNumberFormat="0" applyAlignment="0" applyProtection="0"/>
    <xf numFmtId="0" fontId="45" fillId="22" borderId="90" applyNumberForma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4" fillId="8" borderId="87" applyNumberFormat="0" applyAlignment="0" applyProtection="0"/>
    <xf numFmtId="0" fontId="35" fillId="27" borderId="88" applyNumberFormat="0" applyAlignment="0" applyProtection="0"/>
    <xf numFmtId="0" fontId="36" fillId="27" borderId="87" applyNumberFormat="0" applyAlignment="0" applyProtection="0"/>
    <xf numFmtId="0" fontId="51" fillId="30" borderId="90" applyNumberFormat="0" applyAlignment="0" applyProtection="0"/>
    <xf numFmtId="0" fontId="20" fillId="30" borderId="90" applyNumberFormat="0" applyAlignment="0" applyProtection="0"/>
    <xf numFmtId="0" fontId="44" fillId="30" borderId="90" applyNumberFormat="0" applyProtection="0"/>
    <xf numFmtId="0" fontId="20" fillId="30" borderId="90" applyNumberFormat="0" applyAlignment="0" applyProtection="0"/>
    <xf numFmtId="0" fontId="34" fillId="36" borderId="87" applyNumberFormat="0" applyAlignment="0" applyProtection="0"/>
    <xf numFmtId="0" fontId="35" fillId="48" borderId="88" applyNumberFormat="0" applyAlignment="0" applyProtection="0"/>
    <xf numFmtId="0" fontId="36" fillId="48" borderId="87" applyNumberFormat="0" applyAlignment="0" applyProtection="0"/>
    <xf numFmtId="0" fontId="32" fillId="38" borderId="90" applyNumberFormat="0" applyFon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27" borderId="93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27" borderId="92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40" fillId="0" borderId="94" applyNumberFormat="0" applyFill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34" fillId="43" borderId="92" applyNumberFormat="0" applyAlignmen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40" fillId="0" borderId="94" applyNumberFormat="0" applyFill="0" applyAlignment="0" applyProtection="0"/>
    <xf numFmtId="0" fontId="45" fillId="22" borderId="95" applyNumberFormat="0" applyAlignment="0" applyProtection="0"/>
    <xf numFmtId="0" fontId="45" fillId="22" borderId="95" applyNumberFormat="0" applyAlignment="0" applyProtection="0"/>
    <xf numFmtId="0" fontId="24" fillId="22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Protection="0"/>
    <xf numFmtId="0" fontId="34" fillId="8" borderId="92" applyNumberFormat="0" applyAlignment="0" applyProtection="0"/>
    <xf numFmtId="0" fontId="35" fillId="27" borderId="93" applyNumberFormat="0" applyAlignment="0" applyProtection="0"/>
    <xf numFmtId="0" fontId="35" fillId="27" borderId="93" applyNumberFormat="0" applyProtection="0"/>
    <xf numFmtId="0" fontId="36" fillId="27" borderId="92" applyNumberFormat="0" applyAlignment="0" applyProtection="0"/>
    <xf numFmtId="0" fontId="36" fillId="27" borderId="92" applyNumberFormat="0" applyProtection="0"/>
    <xf numFmtId="0" fontId="40" fillId="0" borderId="96" applyNumberFormat="0" applyFill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44" fillId="30" borderId="95" applyNumberFormat="0" applyProtection="0"/>
    <xf numFmtId="0" fontId="20" fillId="30" borderId="95" applyNumberForma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27" borderId="93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27" borderId="92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40" fillId="0" borderId="94" applyNumberFormat="0" applyFill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24" fillId="22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Protection="0"/>
    <xf numFmtId="0" fontId="34" fillId="8" borderId="92" applyNumberFormat="0" applyAlignment="0" applyProtection="0"/>
    <xf numFmtId="0" fontId="35" fillId="27" borderId="93" applyNumberFormat="0" applyAlignment="0" applyProtection="0"/>
    <xf numFmtId="0" fontId="35" fillId="27" borderId="93" applyNumberForma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36" fillId="27" borderId="92" applyNumberFormat="0" applyProtection="0"/>
    <xf numFmtId="0" fontId="36" fillId="27" borderId="92" applyNumberFormat="0" applyAlignment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44" fillId="30" borderId="95" applyNumberFormat="0" applyProtection="0"/>
    <xf numFmtId="0" fontId="20" fillId="30" borderId="95" applyNumberForma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34" fillId="43" borderId="92" applyNumberFormat="0" applyAlignmen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45" fillId="22" borderId="95" applyNumberFormat="0" applyAlignment="0" applyProtection="0"/>
    <xf numFmtId="0" fontId="45" fillId="22" borderId="95" applyNumberFormat="0" applyAlignment="0" applyProtection="0"/>
    <xf numFmtId="0" fontId="40" fillId="0" borderId="94" applyNumberFormat="0" applyFill="0" applyAlignment="0" applyProtection="0"/>
    <xf numFmtId="0" fontId="36" fillId="48" borderId="92" applyNumberFormat="0" applyAlignment="0" applyProtection="0"/>
    <xf numFmtId="0" fontId="35" fillId="48" borderId="93" applyNumberFormat="0" applyAlignment="0" applyProtection="0"/>
    <xf numFmtId="0" fontId="34" fillId="36" borderId="92" applyNumberFormat="0" applyAlignment="0" applyProtection="0"/>
    <xf numFmtId="0" fontId="32" fillId="38" borderId="95" applyNumberFormat="0" applyFont="0" applyAlignment="0" applyProtection="0"/>
    <xf numFmtId="0" fontId="35" fillId="48" borderId="93" applyNumberFormat="0" applyAlignment="0" applyProtection="0"/>
    <xf numFmtId="0" fontId="24" fillId="22" borderId="92" applyNumberFormat="0" applyAlignment="0" applyProtection="0"/>
    <xf numFmtId="0" fontId="35" fillId="27" borderId="93" applyNumberFormat="0" applyAlignment="0" applyProtection="0"/>
    <xf numFmtId="0" fontId="34" fillId="8" borderId="92" applyNumberFormat="0" applyAlignment="0" applyProtection="0"/>
    <xf numFmtId="0" fontId="34" fillId="36" borderId="92" applyNumberFormat="0" applyAlignment="0" applyProtection="0"/>
    <xf numFmtId="0" fontId="44" fillId="30" borderId="95" applyNumberFormat="0" applyProtection="0"/>
    <xf numFmtId="0" fontId="34" fillId="8" borderId="92" applyNumberFormat="0" applyAlignment="0" applyProtection="0"/>
    <xf numFmtId="0" fontId="36" fillId="27" borderId="92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34" fillId="8" borderId="92" applyNumberFormat="0" applyAlignment="0" applyProtection="0"/>
    <xf numFmtId="0" fontId="40" fillId="0" borderId="94" applyNumberFormat="0" applyFill="0" applyAlignment="0" applyProtection="0"/>
    <xf numFmtId="0" fontId="34" fillId="36" borderId="92" applyNumberFormat="0" applyAlignment="0" applyProtection="0"/>
    <xf numFmtId="0" fontId="35" fillId="27" borderId="93" applyNumberFormat="0" applyAlignment="0" applyProtection="0"/>
    <xf numFmtId="0" fontId="34" fillId="8" borderId="92" applyNumberFormat="0" applyProtection="0"/>
    <xf numFmtId="0" fontId="20" fillId="30" borderId="95" applyNumberFormat="0" applyAlignment="0" applyProtection="0"/>
    <xf numFmtId="0" fontId="32" fillId="38" borderId="95" applyNumberFormat="0" applyFon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40" fillId="0" borderId="94" applyNumberFormat="0" applyFill="0" applyAlignment="0" applyProtection="0"/>
    <xf numFmtId="0" fontId="32" fillId="38" borderId="95" applyNumberFormat="0" applyFont="0" applyAlignment="0" applyProtection="0"/>
    <xf numFmtId="0" fontId="36" fillId="27" borderId="92" applyNumberFormat="0" applyAlignment="0" applyProtection="0"/>
    <xf numFmtId="0" fontId="32" fillId="38" borderId="95" applyNumberFormat="0" applyFont="0" applyAlignment="0" applyProtection="0"/>
    <xf numFmtId="0" fontId="35" fillId="48" borderId="93" applyNumberFormat="0" applyAlignment="0" applyProtection="0"/>
    <xf numFmtId="0" fontId="51" fillId="30" borderId="95" applyNumberFormat="0" applyAlignment="0" applyProtection="0"/>
    <xf numFmtId="0" fontId="32" fillId="38" borderId="95" applyNumberFormat="0" applyFont="0" applyAlignment="0" applyProtection="0"/>
    <xf numFmtId="0" fontId="36" fillId="27" borderId="92" applyNumberFormat="0" applyAlignment="0" applyProtection="0"/>
    <xf numFmtId="0" fontId="51" fillId="30" borderId="95" applyNumberFormat="0" applyAlignmen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36" fillId="27" borderId="92" applyNumberFormat="0" applyAlignment="0" applyProtection="0"/>
    <xf numFmtId="0" fontId="34" fillId="8" borderId="92" applyNumberFormat="0" applyAlignment="0" applyProtection="0"/>
    <xf numFmtId="0" fontId="32" fillId="38" borderId="95" applyNumberFormat="0" applyFont="0" applyAlignment="0" applyProtection="0"/>
    <xf numFmtId="0" fontId="34" fillId="8" borderId="92" applyNumberFormat="0" applyAlignment="0" applyProtection="0"/>
    <xf numFmtId="0" fontId="51" fillId="30" borderId="95" applyNumberFormat="0" applyAlignment="0" applyProtection="0"/>
    <xf numFmtId="0" fontId="40" fillId="0" borderId="96" applyNumberFormat="0" applyFill="0" applyProtection="0"/>
    <xf numFmtId="0" fontId="35" fillId="27" borderId="93" applyNumberFormat="0" applyAlignment="0" applyProtection="0"/>
    <xf numFmtId="0" fontId="35" fillId="48" borderId="93" applyNumberFormat="0" applyAlignment="0" applyProtection="0"/>
    <xf numFmtId="0" fontId="34" fillId="43" borderId="92" applyNumberFormat="0" applyAlignment="0" applyProtection="0"/>
    <xf numFmtId="0" fontId="51" fillId="22" borderId="95" applyNumberFormat="0" applyAlignment="0" applyProtection="0"/>
    <xf numFmtId="0" fontId="35" fillId="48" borderId="93" applyNumberFormat="0" applyAlignment="0" applyProtection="0"/>
    <xf numFmtId="0" fontId="34" fillId="8" borderId="92" applyNumberFormat="0" applyAlignment="0" applyProtection="0"/>
    <xf numFmtId="0" fontId="36" fillId="27" borderId="92" applyNumberForma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6" fillId="48" borderId="92" applyNumberFormat="0" applyAlignment="0" applyProtection="0"/>
    <xf numFmtId="0" fontId="40" fillId="0" borderId="94" applyNumberFormat="0" applyFill="0" applyAlignment="0" applyProtection="0"/>
    <xf numFmtId="0" fontId="45" fillId="22" borderId="95" applyNumberFormat="0" applyAlignment="0" applyProtection="0"/>
    <xf numFmtId="0" fontId="35" fillId="48" borderId="93" applyNumberFormat="0" applyAlignment="0" applyProtection="0"/>
    <xf numFmtId="0" fontId="20" fillId="30" borderId="95" applyNumberFormat="0" applyAlignment="0" applyProtection="0"/>
    <xf numFmtId="0" fontId="36" fillId="27" borderId="92" applyNumberFormat="0" applyAlignment="0" applyProtection="0"/>
    <xf numFmtId="0" fontId="35" fillId="27" borderId="93" applyNumberFormat="0" applyAlignment="0" applyProtection="0"/>
    <xf numFmtId="0" fontId="34" fillId="36" borderId="92" applyNumberFormat="0" applyAlignment="0" applyProtection="0"/>
    <xf numFmtId="0" fontId="44" fillId="30" borderId="95" applyNumberFormat="0" applyProtection="0"/>
    <xf numFmtId="0" fontId="24" fillId="22" borderId="92" applyNumberFormat="0" applyAlignment="0" applyProtection="0"/>
    <xf numFmtId="0" fontId="35" fillId="48" borderId="93" applyNumberFormat="0" applyAlignment="0" applyProtection="0"/>
    <xf numFmtId="0" fontId="34" fillId="8" borderId="92" applyNumberFormat="0" applyAlignment="0" applyProtection="0"/>
    <xf numFmtId="0" fontId="36" fillId="27" borderId="92" applyNumberFormat="0" applyProtection="0"/>
    <xf numFmtId="0" fontId="35" fillId="27" borderId="93" applyNumberFormat="0" applyProtection="0"/>
    <xf numFmtId="0" fontId="34" fillId="36" borderId="92" applyNumberFormat="0" applyAlignment="0" applyProtection="0"/>
    <xf numFmtId="0" fontId="36" fillId="48" borderId="92" applyNumberFormat="0" applyAlignment="0" applyProtection="0"/>
    <xf numFmtId="0" fontId="34" fillId="8" borderId="92" applyNumberFormat="0" applyAlignment="0" applyProtection="0"/>
    <xf numFmtId="0" fontId="35" fillId="48" borderId="93" applyNumberFormat="0" applyAlignment="0" applyProtection="0"/>
    <xf numFmtId="0" fontId="24" fillId="22" borderId="92" applyNumberFormat="0" applyAlignment="0" applyProtection="0"/>
    <xf numFmtId="0" fontId="34" fillId="36" borderId="92" applyNumberFormat="0" applyAlignment="0" applyProtection="0"/>
    <xf numFmtId="0" fontId="20" fillId="30" borderId="95" applyNumberFormat="0" applyAlignment="0" applyProtection="0"/>
    <xf numFmtId="0" fontId="35" fillId="27" borderId="93" applyNumberFormat="0" applyAlignment="0" applyProtection="0"/>
    <xf numFmtId="0" fontId="35" fillId="27" borderId="93" applyNumberFormat="0" applyAlignment="0" applyProtection="0"/>
    <xf numFmtId="0" fontId="20" fillId="30" borderId="95" applyNumberFormat="0" applyAlignment="0" applyProtection="0"/>
    <xf numFmtId="0" fontId="34" fillId="43" borderId="92" applyNumberFormat="0" applyAlignment="0" applyProtection="0"/>
    <xf numFmtId="0" fontId="35" fillId="48" borderId="93" applyNumberFormat="0" applyAlignment="0" applyProtection="0"/>
    <xf numFmtId="0" fontId="51" fillId="22" borderId="95" applyNumberFormat="0" applyAlignment="0" applyProtection="0"/>
    <xf numFmtId="0" fontId="36" fillId="48" borderId="92" applyNumberFormat="0" applyAlignment="0" applyProtection="0"/>
    <xf numFmtId="0" fontId="44" fillId="30" borderId="95" applyNumberFormat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35" fillId="48" borderId="93" applyNumberFormat="0" applyAlignment="0" applyProtection="0"/>
    <xf numFmtId="0" fontId="32" fillId="38" borderId="95" applyNumberFormat="0" applyFont="0" applyAlignment="0" applyProtection="0"/>
    <xf numFmtId="0" fontId="34" fillId="36" borderId="92" applyNumberFormat="0" applyAlignment="0" applyProtection="0"/>
    <xf numFmtId="0" fontId="20" fillId="30" borderId="95" applyNumberFormat="0" applyAlignment="0" applyProtection="0"/>
    <xf numFmtId="0" fontId="35" fillId="27" borderId="93" applyNumberFormat="0" applyAlignment="0" applyProtection="0"/>
    <xf numFmtId="0" fontId="36" fillId="27" borderId="92" applyNumberFormat="0" applyProtection="0"/>
    <xf numFmtId="0" fontId="36" fillId="48" borderId="92" applyNumberFormat="0" applyAlignment="0" applyProtection="0"/>
    <xf numFmtId="0" fontId="35" fillId="27" borderId="93" applyNumberFormat="0" applyAlignment="0" applyProtection="0"/>
    <xf numFmtId="0" fontId="32" fillId="38" borderId="95" applyNumberFormat="0" applyFont="0" applyAlignment="0" applyProtection="0"/>
    <xf numFmtId="0" fontId="36" fillId="48" borderId="92" applyNumberFormat="0" applyAlignment="0" applyProtection="0"/>
    <xf numFmtId="0" fontId="36" fillId="27" borderId="92" applyNumberFormat="0" applyAlignment="0" applyProtection="0"/>
    <xf numFmtId="0" fontId="36" fillId="48" borderId="92" applyNumberFormat="0" applyAlignment="0" applyProtection="0"/>
    <xf numFmtId="0" fontId="24" fillId="22" borderId="92" applyNumberFormat="0" applyAlignment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34" fillId="36" borderId="92" applyNumberFormat="0" applyAlignment="0" applyProtection="0"/>
    <xf numFmtId="0" fontId="20" fillId="30" borderId="95" applyNumberFormat="0" applyAlignment="0" applyProtection="0"/>
    <xf numFmtId="0" fontId="32" fillId="38" borderId="95" applyNumberFormat="0" applyFont="0" applyAlignment="0" applyProtection="0"/>
    <xf numFmtId="0" fontId="35" fillId="27" borderId="93" applyNumberFormat="0" applyAlignment="0" applyProtection="0"/>
    <xf numFmtId="0" fontId="36" fillId="48" borderId="92" applyNumberFormat="0" applyAlignment="0" applyProtection="0"/>
    <xf numFmtId="0" fontId="36" fillId="27" borderId="92" applyNumberFormat="0" applyAlignment="0" applyProtection="0"/>
    <xf numFmtId="0" fontId="32" fillId="38" borderId="95" applyNumberFormat="0" applyFont="0" applyAlignment="0" applyProtection="0"/>
    <xf numFmtId="0" fontId="51" fillId="22" borderId="95" applyNumberForma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8" borderId="92" applyNumberFormat="0" applyAlignment="0" applyProtection="0"/>
    <xf numFmtId="0" fontId="34" fillId="36" borderId="92" applyNumberFormat="0" applyAlignment="0" applyProtection="0"/>
    <xf numFmtId="0" fontId="32" fillId="38" borderId="95" applyNumberFormat="0" applyFont="0" applyAlignment="0" applyProtection="0"/>
    <xf numFmtId="0" fontId="20" fillId="30" borderId="95" applyNumberFormat="0" applyAlignment="0" applyProtection="0"/>
    <xf numFmtId="0" fontId="24" fillId="22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Protection="0"/>
    <xf numFmtId="0" fontId="34" fillId="8" borderId="92" applyNumberFormat="0" applyAlignment="0" applyProtection="0"/>
    <xf numFmtId="0" fontId="35" fillId="27" borderId="93" applyNumberFormat="0" applyAlignment="0" applyProtection="0"/>
    <xf numFmtId="0" fontId="35" fillId="27" borderId="93" applyNumberFormat="0" applyAlignment="0" applyProtection="0"/>
    <xf numFmtId="0" fontId="35" fillId="27" borderId="93" applyNumberForma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36" fillId="27" borderId="92" applyNumberFormat="0" applyAlignment="0" applyProtection="0"/>
    <xf numFmtId="0" fontId="36" fillId="27" borderId="92" applyNumberFormat="0" applyProtection="0"/>
    <xf numFmtId="0" fontId="36" fillId="27" borderId="92" applyNumberFormat="0" applyAlignment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44" fillId="30" borderId="95" applyNumberFormat="0" applyProtection="0"/>
    <xf numFmtId="0" fontId="20" fillId="30" borderId="95" applyNumberForma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27" borderId="93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27" borderId="92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40" fillId="0" borderId="94" applyNumberFormat="0" applyFill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24" fillId="22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Protection="0"/>
    <xf numFmtId="0" fontId="34" fillId="8" borderId="92" applyNumberFormat="0" applyAlignment="0" applyProtection="0"/>
    <xf numFmtId="0" fontId="35" fillId="27" borderId="93" applyNumberFormat="0" applyAlignment="0" applyProtection="0"/>
    <xf numFmtId="0" fontId="35" fillId="27" borderId="93" applyNumberForma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36" fillId="27" borderId="92" applyNumberFormat="0" applyProtection="0"/>
    <xf numFmtId="0" fontId="36" fillId="27" borderId="92" applyNumberFormat="0" applyAlignment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44" fillId="30" borderId="95" applyNumberFormat="0" applyProtection="0"/>
    <xf numFmtId="0" fontId="20" fillId="30" borderId="95" applyNumberFormat="0" applyAlignment="0" applyProtection="0"/>
    <xf numFmtId="0" fontId="34" fillId="43" borderId="92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6" fillId="48" borderId="92" applyNumberFormat="0" applyAlignment="0" applyProtection="0"/>
    <xf numFmtId="0" fontId="36" fillId="48" borderId="92" applyNumberFormat="0" applyAlignment="0" applyProtection="0"/>
    <xf numFmtId="0" fontId="51" fillId="22" borderId="95" applyNumberForma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32" fillId="38" borderId="95" applyNumberFormat="0" applyFont="0" applyAlignment="0" applyProtection="0"/>
    <xf numFmtId="0" fontId="34" fillId="43" borderId="92" applyNumberFormat="0" applyAlignment="0" applyProtection="0"/>
    <xf numFmtId="0" fontId="34" fillId="8" borderId="92" applyNumberFormat="0" applyAlignment="0" applyProtection="0"/>
    <xf numFmtId="0" fontId="35" fillId="27" borderId="93" applyNumberFormat="0" applyAlignment="0" applyProtection="0"/>
    <xf numFmtId="0" fontId="45" fillId="22" borderId="95" applyNumberFormat="0" applyAlignment="0" applyProtection="0"/>
    <xf numFmtId="0" fontId="34" fillId="36" borderId="92" applyNumberFormat="0" applyAlignment="0" applyProtection="0"/>
    <xf numFmtId="0" fontId="34" fillId="36" borderId="92" applyNumberFormat="0" applyAlignment="0" applyProtection="0"/>
    <xf numFmtId="0" fontId="35" fillId="27" borderId="93" applyNumberFormat="0" applyAlignment="0" applyProtection="0"/>
    <xf numFmtId="0" fontId="35" fillId="27" borderId="93" applyNumberFormat="0" applyAlignment="0" applyProtection="0"/>
    <xf numFmtId="0" fontId="36" fillId="48" borderId="92" applyNumberFormat="0" applyAlignment="0" applyProtection="0"/>
    <xf numFmtId="0" fontId="51" fillId="22" borderId="95" applyNumberFormat="0" applyAlignment="0" applyProtection="0"/>
    <xf numFmtId="0" fontId="36" fillId="27" borderId="92" applyNumberFormat="0" applyAlignment="0" applyProtection="0"/>
    <xf numFmtId="0" fontId="44" fillId="30" borderId="95" applyNumberFormat="0" applyProtection="0"/>
    <xf numFmtId="0" fontId="35" fillId="27" borderId="93" applyNumberFormat="0" applyAlignment="0" applyProtection="0"/>
    <xf numFmtId="0" fontId="34" fillId="43" borderId="92" applyNumberFormat="0" applyAlignment="0" applyProtection="0"/>
    <xf numFmtId="0" fontId="36" fillId="27" borderId="92" applyNumberFormat="0" applyAlignment="0" applyProtection="0"/>
    <xf numFmtId="0" fontId="32" fillId="38" borderId="95" applyNumberFormat="0" applyFont="0" applyAlignment="0" applyProtection="0"/>
    <xf numFmtId="0" fontId="40" fillId="0" borderId="94" applyNumberFormat="0" applyFill="0" applyAlignment="0" applyProtection="0"/>
    <xf numFmtId="0" fontId="36" fillId="27" borderId="92" applyNumberFormat="0" applyAlignment="0" applyProtection="0"/>
    <xf numFmtId="0" fontId="51" fillId="22" borderId="95" applyNumberFormat="0" applyAlignment="0" applyProtection="0"/>
    <xf numFmtId="0" fontId="40" fillId="0" borderId="94" applyNumberFormat="0" applyFill="0" applyAlignment="0" applyProtection="0"/>
    <xf numFmtId="0" fontId="35" fillId="48" borderId="93" applyNumberFormat="0" applyAlignment="0" applyProtection="0"/>
    <xf numFmtId="0" fontId="44" fillId="30" borderId="95" applyNumberFormat="0" applyProtection="0"/>
    <xf numFmtId="0" fontId="34" fillId="43" borderId="92" applyNumberFormat="0" applyAlignment="0" applyProtection="0"/>
    <xf numFmtId="0" fontId="35" fillId="27" borderId="93" applyNumberFormat="0" applyProtection="0"/>
    <xf numFmtId="0" fontId="36" fillId="48" borderId="92" applyNumberFormat="0" applyAlignment="0" applyProtection="0"/>
    <xf numFmtId="0" fontId="34" fillId="36" borderId="92" applyNumberFormat="0" applyAlignment="0" applyProtection="0"/>
    <xf numFmtId="0" fontId="32" fillId="38" borderId="95" applyNumberFormat="0" applyFont="0" applyAlignment="0" applyProtection="0"/>
    <xf numFmtId="0" fontId="51" fillId="22" borderId="95" applyNumberFormat="0" applyAlignment="0" applyProtection="0"/>
    <xf numFmtId="0" fontId="36" fillId="27" borderId="92" applyNumberFormat="0" applyProtection="0"/>
    <xf numFmtId="0" fontId="20" fillId="30" borderId="95" applyNumberFormat="0" applyAlignment="0" applyProtection="0"/>
    <xf numFmtId="0" fontId="34" fillId="8" borderId="92" applyNumberFormat="0" applyAlignment="0" applyProtection="0"/>
    <xf numFmtId="0" fontId="34" fillId="36" borderId="92" applyNumberFormat="0" applyAlignment="0" applyProtection="0"/>
    <xf numFmtId="0" fontId="34" fillId="8" borderId="92" applyNumberFormat="0" applyProtection="0"/>
    <xf numFmtId="0" fontId="36" fillId="48" borderId="92" applyNumberFormat="0" applyAlignment="0" applyProtection="0"/>
    <xf numFmtId="0" fontId="35" fillId="48" borderId="93" applyNumberFormat="0" applyAlignment="0" applyProtection="0"/>
    <xf numFmtId="0" fontId="36" fillId="27" borderId="92" applyNumberFormat="0" applyAlignment="0" applyProtection="0"/>
    <xf numFmtId="0" fontId="36" fillId="27" borderId="92" applyNumberFormat="0" applyAlignment="0" applyProtection="0"/>
    <xf numFmtId="0" fontId="35" fillId="27" borderId="93" applyNumberFormat="0" applyProtection="0"/>
    <xf numFmtId="0" fontId="36" fillId="48" borderId="92" applyNumberFormat="0" applyAlignment="0" applyProtection="0"/>
    <xf numFmtId="0" fontId="34" fillId="36" borderId="92" applyNumberFormat="0" applyAlignment="0" applyProtection="0"/>
    <xf numFmtId="0" fontId="36" fillId="48" borderId="92" applyNumberFormat="0" applyAlignment="0" applyProtection="0"/>
    <xf numFmtId="0" fontId="34" fillId="8" borderId="92" applyNumberForma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5" fillId="27" borderId="93" applyNumberFormat="0" applyProtection="0"/>
    <xf numFmtId="0" fontId="36" fillId="48" borderId="92" applyNumberFormat="0" applyAlignment="0" applyProtection="0"/>
    <xf numFmtId="0" fontId="34" fillId="8" borderId="92" applyNumberFormat="0" applyProtection="0"/>
    <xf numFmtId="0" fontId="32" fillId="38" borderId="95" applyNumberFormat="0" applyFont="0" applyAlignment="0" applyProtection="0"/>
    <xf numFmtId="0" fontId="34" fillId="36" borderId="92" applyNumberFormat="0" applyAlignment="0" applyProtection="0"/>
    <xf numFmtId="0" fontId="36" fillId="27" borderId="92" applyNumberFormat="0" applyAlignment="0" applyProtection="0"/>
    <xf numFmtId="0" fontId="32" fillId="38" borderId="95" applyNumberFormat="0" applyFont="0" applyAlignment="0" applyProtection="0"/>
    <xf numFmtId="0" fontId="34" fillId="43" borderId="92" applyNumberFormat="0" applyAlignment="0" applyProtection="0"/>
    <xf numFmtId="0" fontId="35" fillId="48" borderId="93" applyNumberFormat="0" applyAlignment="0" applyProtection="0"/>
    <xf numFmtId="0" fontId="35" fillId="48" borderId="93" applyNumberFormat="0" applyAlignment="0" applyProtection="0"/>
    <xf numFmtId="0" fontId="34" fillId="43" borderId="92" applyNumberFormat="0" applyAlignmen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40" fillId="0" borderId="94" applyNumberFormat="0" applyFill="0" applyAlignment="0" applyProtection="0"/>
    <xf numFmtId="0" fontId="45" fillId="22" borderId="95" applyNumberFormat="0" applyAlignment="0" applyProtection="0"/>
    <xf numFmtId="0" fontId="45" fillId="22" borderId="95" applyNumberForma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4" fillId="8" borderId="92" applyNumberFormat="0" applyAlignment="0" applyProtection="0"/>
    <xf numFmtId="0" fontId="35" fillId="27" borderId="93" applyNumberFormat="0" applyAlignment="0" applyProtection="0"/>
    <xf numFmtId="0" fontId="36" fillId="27" borderId="92" applyNumberFormat="0" applyAlignment="0" applyProtection="0"/>
    <xf numFmtId="0" fontId="51" fillId="30" borderId="95" applyNumberFormat="0" applyAlignment="0" applyProtection="0"/>
    <xf numFmtId="0" fontId="20" fillId="30" borderId="95" applyNumberFormat="0" applyAlignment="0" applyProtection="0"/>
    <xf numFmtId="0" fontId="44" fillId="30" borderId="95" applyNumberFormat="0" applyProtection="0"/>
    <xf numFmtId="0" fontId="20" fillId="30" borderId="95" applyNumberFormat="0" applyAlignment="0" applyProtection="0"/>
    <xf numFmtId="0" fontId="34" fillId="36" borderId="92" applyNumberFormat="0" applyAlignment="0" applyProtection="0"/>
    <xf numFmtId="0" fontId="35" fillId="48" borderId="93" applyNumberFormat="0" applyAlignment="0" applyProtection="0"/>
    <xf numFmtId="0" fontId="36" fillId="48" borderId="92" applyNumberFormat="0" applyAlignment="0" applyProtection="0"/>
    <xf numFmtId="0" fontId="32" fillId="38" borderId="95" applyNumberFormat="0" applyFon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27" borderId="98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27" borderId="97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40" fillId="0" borderId="99" applyNumberFormat="0" applyFill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34" fillId="43" borderId="97" applyNumberFormat="0" applyAlignmen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40" fillId="0" borderId="99" applyNumberFormat="0" applyFill="0" applyAlignment="0" applyProtection="0"/>
    <xf numFmtId="0" fontId="45" fillId="22" borderId="100" applyNumberFormat="0" applyAlignment="0" applyProtection="0"/>
    <xf numFmtId="0" fontId="45" fillId="22" borderId="100" applyNumberFormat="0" applyAlignment="0" applyProtection="0"/>
    <xf numFmtId="0" fontId="24" fillId="22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Protection="0"/>
    <xf numFmtId="0" fontId="34" fillId="8" borderId="97" applyNumberFormat="0" applyAlignment="0" applyProtection="0"/>
    <xf numFmtId="0" fontId="35" fillId="27" borderId="98" applyNumberFormat="0" applyAlignment="0" applyProtection="0"/>
    <xf numFmtId="0" fontId="35" fillId="27" borderId="98" applyNumberFormat="0" applyProtection="0"/>
    <xf numFmtId="0" fontId="36" fillId="27" borderId="97" applyNumberFormat="0" applyAlignment="0" applyProtection="0"/>
    <xf numFmtId="0" fontId="36" fillId="27" borderId="97" applyNumberFormat="0" applyProtection="0"/>
    <xf numFmtId="0" fontId="40" fillId="0" borderId="101" applyNumberFormat="0" applyFill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44" fillId="30" borderId="100" applyNumberFormat="0" applyProtection="0"/>
    <xf numFmtId="0" fontId="20" fillId="30" borderId="100" applyNumberForma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27" borderId="98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27" borderId="97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40" fillId="0" borderId="99" applyNumberFormat="0" applyFill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24" fillId="22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Protection="0"/>
    <xf numFmtId="0" fontId="34" fillId="8" borderId="97" applyNumberFormat="0" applyAlignment="0" applyProtection="0"/>
    <xf numFmtId="0" fontId="35" fillId="27" borderId="98" applyNumberFormat="0" applyAlignment="0" applyProtection="0"/>
    <xf numFmtId="0" fontId="35" fillId="27" borderId="98" applyNumberForma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36" fillId="27" borderId="97" applyNumberFormat="0" applyProtection="0"/>
    <xf numFmtId="0" fontId="36" fillId="27" borderId="97" applyNumberFormat="0" applyAlignment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44" fillId="30" borderId="100" applyNumberFormat="0" applyProtection="0"/>
    <xf numFmtId="0" fontId="20" fillId="30" borderId="100" applyNumberForma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34" fillId="43" borderId="97" applyNumberFormat="0" applyAlignmen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45" fillId="22" borderId="100" applyNumberFormat="0" applyAlignment="0" applyProtection="0"/>
    <xf numFmtId="0" fontId="45" fillId="22" borderId="100" applyNumberFormat="0" applyAlignment="0" applyProtection="0"/>
    <xf numFmtId="0" fontId="40" fillId="0" borderId="99" applyNumberFormat="0" applyFill="0" applyAlignment="0" applyProtection="0"/>
    <xf numFmtId="0" fontId="36" fillId="48" borderId="97" applyNumberFormat="0" applyAlignment="0" applyProtection="0"/>
    <xf numFmtId="0" fontId="35" fillId="48" borderId="98" applyNumberFormat="0" applyAlignment="0" applyProtection="0"/>
    <xf numFmtId="0" fontId="34" fillId="36" borderId="97" applyNumberFormat="0" applyAlignment="0" applyProtection="0"/>
    <xf numFmtId="0" fontId="32" fillId="38" borderId="100" applyNumberFormat="0" applyFont="0" applyAlignment="0" applyProtection="0"/>
    <xf numFmtId="0" fontId="35" fillId="48" borderId="98" applyNumberFormat="0" applyAlignment="0" applyProtection="0"/>
    <xf numFmtId="0" fontId="24" fillId="22" borderId="97" applyNumberFormat="0" applyAlignment="0" applyProtection="0"/>
    <xf numFmtId="0" fontId="35" fillId="27" borderId="98" applyNumberFormat="0" applyAlignment="0" applyProtection="0"/>
    <xf numFmtId="0" fontId="34" fillId="8" borderId="97" applyNumberFormat="0" applyAlignment="0" applyProtection="0"/>
    <xf numFmtId="0" fontId="34" fillId="36" borderId="97" applyNumberFormat="0" applyAlignment="0" applyProtection="0"/>
    <xf numFmtId="0" fontId="44" fillId="30" borderId="100" applyNumberFormat="0" applyProtection="0"/>
    <xf numFmtId="0" fontId="34" fillId="8" borderId="97" applyNumberFormat="0" applyAlignment="0" applyProtection="0"/>
    <xf numFmtId="0" fontId="36" fillId="27" borderId="97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34" fillId="8" borderId="97" applyNumberFormat="0" applyAlignment="0" applyProtection="0"/>
    <xf numFmtId="0" fontId="40" fillId="0" borderId="99" applyNumberFormat="0" applyFill="0" applyAlignment="0" applyProtection="0"/>
    <xf numFmtId="0" fontId="34" fillId="36" borderId="97" applyNumberFormat="0" applyAlignment="0" applyProtection="0"/>
    <xf numFmtId="0" fontId="35" fillId="27" borderId="98" applyNumberFormat="0" applyAlignment="0" applyProtection="0"/>
    <xf numFmtId="0" fontId="34" fillId="8" borderId="97" applyNumberFormat="0" applyProtection="0"/>
    <xf numFmtId="0" fontId="20" fillId="30" borderId="100" applyNumberFormat="0" applyAlignment="0" applyProtection="0"/>
    <xf numFmtId="0" fontId="32" fillId="38" borderId="100" applyNumberFormat="0" applyFon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40" fillId="0" borderId="99" applyNumberFormat="0" applyFill="0" applyAlignment="0" applyProtection="0"/>
    <xf numFmtId="0" fontId="32" fillId="38" borderId="100" applyNumberFormat="0" applyFont="0" applyAlignment="0" applyProtection="0"/>
    <xf numFmtId="0" fontId="36" fillId="27" borderId="97" applyNumberFormat="0" applyAlignment="0" applyProtection="0"/>
    <xf numFmtId="0" fontId="32" fillId="38" borderId="100" applyNumberFormat="0" applyFont="0" applyAlignment="0" applyProtection="0"/>
    <xf numFmtId="0" fontId="35" fillId="48" borderId="98" applyNumberFormat="0" applyAlignment="0" applyProtection="0"/>
    <xf numFmtId="0" fontId="51" fillId="30" borderId="100" applyNumberFormat="0" applyAlignment="0" applyProtection="0"/>
    <xf numFmtId="0" fontId="32" fillId="38" borderId="100" applyNumberFormat="0" applyFont="0" applyAlignment="0" applyProtection="0"/>
    <xf numFmtId="0" fontId="36" fillId="27" borderId="97" applyNumberFormat="0" applyAlignment="0" applyProtection="0"/>
    <xf numFmtId="0" fontId="51" fillId="30" borderId="100" applyNumberFormat="0" applyAlignmen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36" fillId="27" borderId="97" applyNumberFormat="0" applyAlignment="0" applyProtection="0"/>
    <xf numFmtId="0" fontId="34" fillId="8" borderId="97" applyNumberFormat="0" applyAlignment="0" applyProtection="0"/>
    <xf numFmtId="0" fontId="32" fillId="38" borderId="100" applyNumberFormat="0" applyFont="0" applyAlignment="0" applyProtection="0"/>
    <xf numFmtId="0" fontId="34" fillId="8" borderId="97" applyNumberFormat="0" applyAlignment="0" applyProtection="0"/>
    <xf numFmtId="0" fontId="51" fillId="30" borderId="100" applyNumberFormat="0" applyAlignment="0" applyProtection="0"/>
    <xf numFmtId="0" fontId="40" fillId="0" borderId="101" applyNumberFormat="0" applyFill="0" applyProtection="0"/>
    <xf numFmtId="0" fontId="35" fillId="27" borderId="98" applyNumberFormat="0" applyAlignment="0" applyProtection="0"/>
    <xf numFmtId="0" fontId="35" fillId="48" borderId="98" applyNumberFormat="0" applyAlignment="0" applyProtection="0"/>
    <xf numFmtId="0" fontId="34" fillId="43" borderId="97" applyNumberFormat="0" applyAlignment="0" applyProtection="0"/>
    <xf numFmtId="0" fontId="51" fillId="22" borderId="100" applyNumberFormat="0" applyAlignment="0" applyProtection="0"/>
    <xf numFmtId="0" fontId="35" fillId="48" borderId="98" applyNumberFormat="0" applyAlignment="0" applyProtection="0"/>
    <xf numFmtId="0" fontId="34" fillId="8" borderId="97" applyNumberFormat="0" applyAlignment="0" applyProtection="0"/>
    <xf numFmtId="0" fontId="36" fillId="27" borderId="97" applyNumberForma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6" fillId="48" borderId="97" applyNumberFormat="0" applyAlignment="0" applyProtection="0"/>
    <xf numFmtId="0" fontId="40" fillId="0" borderId="99" applyNumberFormat="0" applyFill="0" applyAlignment="0" applyProtection="0"/>
    <xf numFmtId="0" fontId="45" fillId="22" borderId="100" applyNumberFormat="0" applyAlignment="0" applyProtection="0"/>
    <xf numFmtId="0" fontId="35" fillId="48" borderId="98" applyNumberFormat="0" applyAlignment="0" applyProtection="0"/>
    <xf numFmtId="0" fontId="20" fillId="30" borderId="100" applyNumberFormat="0" applyAlignment="0" applyProtection="0"/>
    <xf numFmtId="0" fontId="36" fillId="27" borderId="97" applyNumberFormat="0" applyAlignment="0" applyProtection="0"/>
    <xf numFmtId="0" fontId="35" fillId="27" borderId="98" applyNumberFormat="0" applyAlignment="0" applyProtection="0"/>
    <xf numFmtId="0" fontId="34" fillId="36" borderId="97" applyNumberFormat="0" applyAlignment="0" applyProtection="0"/>
    <xf numFmtId="0" fontId="44" fillId="30" borderId="100" applyNumberFormat="0" applyProtection="0"/>
    <xf numFmtId="0" fontId="24" fillId="22" borderId="97" applyNumberFormat="0" applyAlignment="0" applyProtection="0"/>
    <xf numFmtId="0" fontId="35" fillId="48" borderId="98" applyNumberFormat="0" applyAlignment="0" applyProtection="0"/>
    <xf numFmtId="0" fontId="34" fillId="8" borderId="97" applyNumberFormat="0" applyAlignment="0" applyProtection="0"/>
    <xf numFmtId="0" fontId="36" fillId="27" borderId="97" applyNumberFormat="0" applyProtection="0"/>
    <xf numFmtId="0" fontId="35" fillId="27" borderId="98" applyNumberFormat="0" applyProtection="0"/>
    <xf numFmtId="0" fontId="34" fillId="36" borderId="97" applyNumberFormat="0" applyAlignment="0" applyProtection="0"/>
    <xf numFmtId="0" fontId="36" fillId="48" borderId="97" applyNumberFormat="0" applyAlignment="0" applyProtection="0"/>
    <xf numFmtId="0" fontId="34" fillId="8" borderId="97" applyNumberFormat="0" applyAlignment="0" applyProtection="0"/>
    <xf numFmtId="0" fontId="35" fillId="48" borderId="98" applyNumberFormat="0" applyAlignment="0" applyProtection="0"/>
    <xf numFmtId="0" fontId="24" fillId="22" borderId="97" applyNumberFormat="0" applyAlignment="0" applyProtection="0"/>
    <xf numFmtId="0" fontId="34" fillId="36" borderId="97" applyNumberFormat="0" applyAlignment="0" applyProtection="0"/>
    <xf numFmtId="0" fontId="20" fillId="30" borderId="100" applyNumberFormat="0" applyAlignment="0" applyProtection="0"/>
    <xf numFmtId="0" fontId="35" fillId="27" borderId="98" applyNumberFormat="0" applyAlignment="0" applyProtection="0"/>
    <xf numFmtId="0" fontId="35" fillId="27" borderId="98" applyNumberFormat="0" applyAlignment="0" applyProtection="0"/>
    <xf numFmtId="0" fontId="20" fillId="30" borderId="100" applyNumberFormat="0" applyAlignment="0" applyProtection="0"/>
    <xf numFmtId="0" fontId="34" fillId="43" borderId="97" applyNumberFormat="0" applyAlignment="0" applyProtection="0"/>
    <xf numFmtId="0" fontId="35" fillId="48" borderId="98" applyNumberFormat="0" applyAlignment="0" applyProtection="0"/>
    <xf numFmtId="0" fontId="51" fillId="22" borderId="100" applyNumberFormat="0" applyAlignment="0" applyProtection="0"/>
    <xf numFmtId="0" fontId="36" fillId="48" borderId="97" applyNumberFormat="0" applyAlignment="0" applyProtection="0"/>
    <xf numFmtId="0" fontId="44" fillId="30" borderId="100" applyNumberFormat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35" fillId="48" borderId="98" applyNumberFormat="0" applyAlignment="0" applyProtection="0"/>
    <xf numFmtId="0" fontId="32" fillId="38" borderId="100" applyNumberFormat="0" applyFont="0" applyAlignment="0" applyProtection="0"/>
    <xf numFmtId="0" fontId="34" fillId="36" borderId="97" applyNumberFormat="0" applyAlignment="0" applyProtection="0"/>
    <xf numFmtId="0" fontId="20" fillId="30" borderId="100" applyNumberFormat="0" applyAlignment="0" applyProtection="0"/>
    <xf numFmtId="0" fontId="35" fillId="27" borderId="98" applyNumberFormat="0" applyAlignment="0" applyProtection="0"/>
    <xf numFmtId="0" fontId="36" fillId="27" borderId="97" applyNumberFormat="0" applyProtection="0"/>
    <xf numFmtId="0" fontId="36" fillId="48" borderId="97" applyNumberFormat="0" applyAlignment="0" applyProtection="0"/>
    <xf numFmtId="0" fontId="35" fillId="27" borderId="98" applyNumberFormat="0" applyAlignment="0" applyProtection="0"/>
    <xf numFmtId="0" fontId="32" fillId="38" borderId="100" applyNumberFormat="0" applyFont="0" applyAlignment="0" applyProtection="0"/>
    <xf numFmtId="0" fontId="36" fillId="48" borderId="97" applyNumberFormat="0" applyAlignment="0" applyProtection="0"/>
    <xf numFmtId="0" fontId="36" fillId="27" borderId="97" applyNumberFormat="0" applyAlignment="0" applyProtection="0"/>
    <xf numFmtId="0" fontId="36" fillId="48" borderId="97" applyNumberFormat="0" applyAlignment="0" applyProtection="0"/>
    <xf numFmtId="0" fontId="24" fillId="22" borderId="97" applyNumberFormat="0" applyAlignment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34" fillId="36" borderId="97" applyNumberFormat="0" applyAlignment="0" applyProtection="0"/>
    <xf numFmtId="0" fontId="20" fillId="30" borderId="100" applyNumberFormat="0" applyAlignment="0" applyProtection="0"/>
    <xf numFmtId="0" fontId="32" fillId="38" borderId="100" applyNumberFormat="0" applyFont="0" applyAlignment="0" applyProtection="0"/>
    <xf numFmtId="0" fontId="35" fillId="27" borderId="98" applyNumberFormat="0" applyAlignment="0" applyProtection="0"/>
    <xf numFmtId="0" fontId="36" fillId="48" borderId="97" applyNumberFormat="0" applyAlignment="0" applyProtection="0"/>
    <xf numFmtId="0" fontId="36" fillId="27" borderId="97" applyNumberFormat="0" applyAlignment="0" applyProtection="0"/>
    <xf numFmtId="0" fontId="32" fillId="38" borderId="100" applyNumberFormat="0" applyFont="0" applyAlignment="0" applyProtection="0"/>
    <xf numFmtId="0" fontId="51" fillId="22" borderId="100" applyNumberForma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8" borderId="97" applyNumberFormat="0" applyAlignment="0" applyProtection="0"/>
    <xf numFmtId="0" fontId="34" fillId="36" borderId="97" applyNumberFormat="0" applyAlignment="0" applyProtection="0"/>
    <xf numFmtId="0" fontId="32" fillId="38" borderId="100" applyNumberFormat="0" applyFont="0" applyAlignment="0" applyProtection="0"/>
    <xf numFmtId="0" fontId="20" fillId="30" borderId="100" applyNumberFormat="0" applyAlignment="0" applyProtection="0"/>
    <xf numFmtId="0" fontId="24" fillId="22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Protection="0"/>
    <xf numFmtId="0" fontId="34" fillId="8" borderId="97" applyNumberFormat="0" applyAlignment="0" applyProtection="0"/>
    <xf numFmtId="0" fontId="35" fillId="27" borderId="98" applyNumberFormat="0" applyAlignment="0" applyProtection="0"/>
    <xf numFmtId="0" fontId="35" fillId="27" borderId="98" applyNumberFormat="0" applyAlignment="0" applyProtection="0"/>
    <xf numFmtId="0" fontId="35" fillId="27" borderId="98" applyNumberForma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36" fillId="27" borderId="97" applyNumberFormat="0" applyAlignment="0" applyProtection="0"/>
    <xf numFmtId="0" fontId="36" fillId="27" borderId="97" applyNumberFormat="0" applyProtection="0"/>
    <xf numFmtId="0" fontId="36" fillId="27" borderId="97" applyNumberFormat="0" applyAlignment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44" fillId="30" borderId="100" applyNumberFormat="0" applyProtection="0"/>
    <xf numFmtId="0" fontId="20" fillId="30" borderId="100" applyNumberForma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27" borderId="98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27" borderId="97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40" fillId="0" borderId="99" applyNumberFormat="0" applyFill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24" fillId="22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Protection="0"/>
    <xf numFmtId="0" fontId="34" fillId="8" borderId="97" applyNumberFormat="0" applyAlignment="0" applyProtection="0"/>
    <xf numFmtId="0" fontId="35" fillId="27" borderId="98" applyNumberFormat="0" applyAlignment="0" applyProtection="0"/>
    <xf numFmtId="0" fontId="35" fillId="27" borderId="98" applyNumberForma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36" fillId="27" borderId="97" applyNumberFormat="0" applyProtection="0"/>
    <xf numFmtId="0" fontId="36" fillId="27" borderId="97" applyNumberFormat="0" applyAlignment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44" fillId="30" borderId="100" applyNumberFormat="0" applyProtection="0"/>
    <xf numFmtId="0" fontId="20" fillId="30" borderId="100" applyNumberFormat="0" applyAlignment="0" applyProtection="0"/>
    <xf numFmtId="0" fontId="34" fillId="43" borderId="97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6" fillId="48" borderId="97" applyNumberFormat="0" applyAlignment="0" applyProtection="0"/>
    <xf numFmtId="0" fontId="36" fillId="48" borderId="97" applyNumberFormat="0" applyAlignment="0" applyProtection="0"/>
    <xf numFmtId="0" fontId="51" fillId="22" borderId="100" applyNumberForma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32" fillId="38" borderId="100" applyNumberFormat="0" applyFont="0" applyAlignment="0" applyProtection="0"/>
    <xf numFmtId="0" fontId="34" fillId="43" borderId="97" applyNumberFormat="0" applyAlignment="0" applyProtection="0"/>
    <xf numFmtId="0" fontId="34" fillId="8" borderId="97" applyNumberFormat="0" applyAlignment="0" applyProtection="0"/>
    <xf numFmtId="0" fontId="35" fillId="27" borderId="98" applyNumberFormat="0" applyAlignment="0" applyProtection="0"/>
    <xf numFmtId="0" fontId="45" fillId="22" borderId="100" applyNumberFormat="0" applyAlignment="0" applyProtection="0"/>
    <xf numFmtId="0" fontId="34" fillId="36" borderId="97" applyNumberFormat="0" applyAlignment="0" applyProtection="0"/>
    <xf numFmtId="0" fontId="34" fillId="36" borderId="97" applyNumberFormat="0" applyAlignment="0" applyProtection="0"/>
    <xf numFmtId="0" fontId="35" fillId="27" borderId="98" applyNumberFormat="0" applyAlignment="0" applyProtection="0"/>
    <xf numFmtId="0" fontId="35" fillId="27" borderId="98" applyNumberFormat="0" applyAlignment="0" applyProtection="0"/>
    <xf numFmtId="0" fontId="36" fillId="48" borderId="97" applyNumberFormat="0" applyAlignment="0" applyProtection="0"/>
    <xf numFmtId="0" fontId="51" fillId="22" borderId="100" applyNumberFormat="0" applyAlignment="0" applyProtection="0"/>
    <xf numFmtId="0" fontId="36" fillId="27" borderId="97" applyNumberFormat="0" applyAlignment="0" applyProtection="0"/>
    <xf numFmtId="0" fontId="44" fillId="30" borderId="100" applyNumberFormat="0" applyProtection="0"/>
    <xf numFmtId="0" fontId="35" fillId="27" borderId="98" applyNumberFormat="0" applyAlignment="0" applyProtection="0"/>
    <xf numFmtId="0" fontId="34" fillId="43" borderId="97" applyNumberFormat="0" applyAlignment="0" applyProtection="0"/>
    <xf numFmtId="0" fontId="36" fillId="27" borderId="97" applyNumberFormat="0" applyAlignment="0" applyProtection="0"/>
    <xf numFmtId="0" fontId="32" fillId="38" borderId="100" applyNumberFormat="0" applyFont="0" applyAlignment="0" applyProtection="0"/>
    <xf numFmtId="0" fontId="40" fillId="0" borderId="99" applyNumberFormat="0" applyFill="0" applyAlignment="0" applyProtection="0"/>
    <xf numFmtId="0" fontId="36" fillId="27" borderId="97" applyNumberFormat="0" applyAlignment="0" applyProtection="0"/>
    <xf numFmtId="0" fontId="51" fillId="22" borderId="100" applyNumberFormat="0" applyAlignment="0" applyProtection="0"/>
    <xf numFmtId="0" fontId="40" fillId="0" borderId="99" applyNumberFormat="0" applyFill="0" applyAlignment="0" applyProtection="0"/>
    <xf numFmtId="0" fontId="35" fillId="48" borderId="98" applyNumberFormat="0" applyAlignment="0" applyProtection="0"/>
    <xf numFmtId="0" fontId="44" fillId="30" borderId="100" applyNumberFormat="0" applyProtection="0"/>
    <xf numFmtId="0" fontId="34" fillId="43" borderId="97" applyNumberFormat="0" applyAlignment="0" applyProtection="0"/>
    <xf numFmtId="0" fontId="35" fillId="27" borderId="98" applyNumberFormat="0" applyProtection="0"/>
    <xf numFmtId="0" fontId="36" fillId="48" borderId="97" applyNumberFormat="0" applyAlignment="0" applyProtection="0"/>
    <xf numFmtId="0" fontId="34" fillId="36" borderId="97" applyNumberFormat="0" applyAlignment="0" applyProtection="0"/>
    <xf numFmtId="0" fontId="32" fillId="38" borderId="100" applyNumberFormat="0" applyFont="0" applyAlignment="0" applyProtection="0"/>
    <xf numFmtId="0" fontId="51" fillId="22" borderId="100" applyNumberFormat="0" applyAlignment="0" applyProtection="0"/>
    <xf numFmtId="0" fontId="36" fillId="27" borderId="97" applyNumberFormat="0" applyProtection="0"/>
    <xf numFmtId="0" fontId="20" fillId="30" borderId="100" applyNumberFormat="0" applyAlignment="0" applyProtection="0"/>
    <xf numFmtId="0" fontId="34" fillId="8" borderId="97" applyNumberFormat="0" applyAlignment="0" applyProtection="0"/>
    <xf numFmtId="0" fontId="34" fillId="36" borderId="97" applyNumberFormat="0" applyAlignment="0" applyProtection="0"/>
    <xf numFmtId="0" fontId="34" fillId="8" borderId="97" applyNumberFormat="0" applyProtection="0"/>
    <xf numFmtId="0" fontId="36" fillId="48" borderId="97" applyNumberFormat="0" applyAlignment="0" applyProtection="0"/>
    <xf numFmtId="0" fontId="35" fillId="48" borderId="98" applyNumberFormat="0" applyAlignment="0" applyProtection="0"/>
    <xf numFmtId="0" fontId="36" fillId="27" borderId="97" applyNumberFormat="0" applyAlignment="0" applyProtection="0"/>
    <xf numFmtId="0" fontId="36" fillId="27" borderId="97" applyNumberFormat="0" applyAlignment="0" applyProtection="0"/>
    <xf numFmtId="0" fontId="35" fillId="27" borderId="98" applyNumberFormat="0" applyProtection="0"/>
    <xf numFmtId="0" fontId="36" fillId="48" borderId="97" applyNumberFormat="0" applyAlignment="0" applyProtection="0"/>
    <xf numFmtId="0" fontId="34" fillId="36" borderId="97" applyNumberFormat="0" applyAlignment="0" applyProtection="0"/>
    <xf numFmtId="0" fontId="36" fillId="48" borderId="97" applyNumberFormat="0" applyAlignment="0" applyProtection="0"/>
    <xf numFmtId="0" fontId="34" fillId="8" borderId="97" applyNumberForma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5" fillId="27" borderId="98" applyNumberFormat="0" applyProtection="0"/>
    <xf numFmtId="0" fontId="36" fillId="48" borderId="97" applyNumberFormat="0" applyAlignment="0" applyProtection="0"/>
    <xf numFmtId="0" fontId="34" fillId="8" borderId="97" applyNumberFormat="0" applyProtection="0"/>
    <xf numFmtId="0" fontId="32" fillId="38" borderId="100" applyNumberFormat="0" applyFont="0" applyAlignment="0" applyProtection="0"/>
    <xf numFmtId="0" fontId="34" fillId="36" borderId="97" applyNumberFormat="0" applyAlignment="0" applyProtection="0"/>
    <xf numFmtId="0" fontId="36" fillId="27" borderId="97" applyNumberFormat="0" applyAlignment="0" applyProtection="0"/>
    <xf numFmtId="0" fontId="32" fillId="38" borderId="100" applyNumberFormat="0" applyFont="0" applyAlignment="0" applyProtection="0"/>
    <xf numFmtId="0" fontId="34" fillId="43" borderId="97" applyNumberFormat="0" applyAlignment="0" applyProtection="0"/>
    <xf numFmtId="0" fontId="35" fillId="48" borderId="98" applyNumberFormat="0" applyAlignment="0" applyProtection="0"/>
    <xf numFmtId="0" fontId="35" fillId="48" borderId="98" applyNumberFormat="0" applyAlignment="0" applyProtection="0"/>
    <xf numFmtId="0" fontId="34" fillId="43" borderId="97" applyNumberFormat="0" applyAlignmen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40" fillId="0" borderId="99" applyNumberFormat="0" applyFill="0" applyAlignment="0" applyProtection="0"/>
    <xf numFmtId="0" fontId="45" fillId="22" borderId="100" applyNumberFormat="0" applyAlignment="0" applyProtection="0"/>
    <xf numFmtId="0" fontId="45" fillId="22" borderId="100" applyNumberForma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4" fillId="8" borderId="97" applyNumberFormat="0" applyAlignment="0" applyProtection="0"/>
    <xf numFmtId="0" fontId="35" fillId="27" borderId="98" applyNumberFormat="0" applyAlignment="0" applyProtection="0"/>
    <xf numFmtId="0" fontId="36" fillId="27" borderId="97" applyNumberFormat="0" applyAlignment="0" applyProtection="0"/>
    <xf numFmtId="0" fontId="51" fillId="30" borderId="100" applyNumberFormat="0" applyAlignment="0" applyProtection="0"/>
    <xf numFmtId="0" fontId="20" fillId="30" borderId="100" applyNumberFormat="0" applyAlignment="0" applyProtection="0"/>
    <xf numFmtId="0" fontId="44" fillId="30" borderId="100" applyNumberFormat="0" applyProtection="0"/>
    <xf numFmtId="0" fontId="20" fillId="30" borderId="100" applyNumberFormat="0" applyAlignment="0" applyProtection="0"/>
    <xf numFmtId="0" fontId="34" fillId="36" borderId="97" applyNumberFormat="0" applyAlignment="0" applyProtection="0"/>
    <xf numFmtId="0" fontId="35" fillId="48" borderId="98" applyNumberFormat="0" applyAlignment="0" applyProtection="0"/>
    <xf numFmtId="0" fontId="36" fillId="48" borderId="97" applyNumberFormat="0" applyAlignment="0" applyProtection="0"/>
    <xf numFmtId="0" fontId="32" fillId="38" borderId="100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19" fillId="0" borderId="0"/>
    <xf numFmtId="0" fontId="32" fillId="35" borderId="0" applyNumberFormat="0" applyBorder="0" applyAlignment="0" applyProtection="0"/>
    <xf numFmtId="0" fontId="32" fillId="71" borderId="0" applyNumberFormat="0" applyBorder="0" applyProtection="0"/>
    <xf numFmtId="0" fontId="32" fillId="71" borderId="0" applyNumberFormat="0" applyBorder="0" applyAlignment="0" applyProtection="0"/>
    <xf numFmtId="0" fontId="32" fillId="3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72" borderId="0" applyNumberFormat="0" applyBorder="0" applyProtection="0"/>
    <xf numFmtId="0" fontId="32" fillId="72" borderId="0" applyNumberFormat="0" applyBorder="0" applyAlignment="0" applyProtection="0"/>
    <xf numFmtId="0" fontId="32" fillId="43" borderId="0" applyNumberFormat="0" applyBorder="0" applyAlignment="0" applyProtection="0"/>
    <xf numFmtId="0" fontId="32" fillId="72" borderId="0" applyNumberFormat="0" applyBorder="0" applyProtection="0"/>
    <xf numFmtId="0" fontId="32" fillId="44" borderId="0" applyNumberFormat="0" applyBorder="0" applyAlignment="0" applyProtection="0"/>
    <xf numFmtId="0" fontId="32" fillId="10" borderId="0" applyNumberFormat="0" applyBorder="0" applyAlignment="0" applyProtection="0"/>
    <xf numFmtId="0" fontId="32" fillId="47" borderId="0" applyNumberFormat="0" applyBorder="0" applyAlignment="0" applyProtection="0"/>
    <xf numFmtId="0" fontId="32" fillId="73" borderId="0" applyNumberFormat="0" applyBorder="0" applyProtection="0"/>
    <xf numFmtId="0" fontId="32" fillId="11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Protection="0"/>
    <xf numFmtId="0" fontId="32" fillId="6" borderId="0" applyNumberFormat="0" applyBorder="0" applyAlignment="0" applyProtection="0"/>
    <xf numFmtId="0" fontId="32" fillId="44" borderId="0" applyNumberFormat="0" applyBorder="0" applyAlignment="0" applyProtection="0"/>
    <xf numFmtId="0" fontId="32" fillId="12" borderId="0" applyNumberFormat="0" applyBorder="0" applyAlignment="0" applyProtection="0"/>
    <xf numFmtId="0" fontId="33" fillId="50" borderId="0" applyNumberFormat="0" applyBorder="0" applyAlignment="0" applyProtection="0"/>
    <xf numFmtId="0" fontId="33" fillId="74" borderId="0" applyNumberFormat="0" applyBorder="0" applyProtection="0"/>
    <xf numFmtId="0" fontId="33" fillId="13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Protection="0"/>
    <xf numFmtId="0" fontId="33" fillId="10" borderId="0" applyNumberFormat="0" applyBorder="0" applyAlignment="0" applyProtection="0"/>
    <xf numFmtId="0" fontId="33" fillId="47" borderId="0" applyNumberFormat="0" applyBorder="0" applyAlignment="0" applyProtection="0"/>
    <xf numFmtId="0" fontId="33" fillId="73" borderId="0" applyNumberFormat="0" applyBorder="0" applyProtection="0"/>
    <xf numFmtId="0" fontId="33" fillId="11" borderId="0" applyNumberFormat="0" applyBorder="0" applyAlignment="0" applyProtection="0"/>
    <xf numFmtId="0" fontId="33" fillId="73" borderId="0" applyNumberFormat="0" applyBorder="0" applyAlignment="0" applyProtection="0"/>
    <xf numFmtId="0" fontId="33" fillId="73" borderId="0" applyNumberFormat="0" applyBorder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1" fillId="75" borderId="0" applyNumberFormat="0" applyBorder="0" applyAlignment="0" applyProtection="0"/>
    <xf numFmtId="0" fontId="30" fillId="76" borderId="0" applyNumberFormat="0" applyBorder="0" applyAlignment="0" applyProtection="0"/>
    <xf numFmtId="0" fontId="28" fillId="77" borderId="0" applyNumberFormat="0" applyBorder="0" applyAlignment="0" applyProtection="0"/>
    <xf numFmtId="0" fontId="29" fillId="78" borderId="0" applyNumberFormat="0" applyBorder="0" applyAlignment="0" applyProtection="0"/>
    <xf numFmtId="0" fontId="50" fillId="0" borderId="0" applyNumberFormat="0" applyFill="0" applyBorder="0" applyProtection="0"/>
    <xf numFmtId="0" fontId="20" fillId="0" borderId="0"/>
    <xf numFmtId="0" fontId="33" fillId="23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Protection="0"/>
    <xf numFmtId="0" fontId="33" fillId="56" borderId="0" applyNumberFormat="0" applyBorder="0" applyAlignment="0" applyProtection="0"/>
    <xf numFmtId="0" fontId="33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6" borderId="0" applyNumberFormat="0" applyBorder="0" applyAlignment="0" applyProtection="0"/>
    <xf numFmtId="0" fontId="35" fillId="79" borderId="98" applyNumberFormat="0" applyAlignment="0" applyProtection="0"/>
    <xf numFmtId="0" fontId="36" fillId="79" borderId="97" applyNumberFormat="0" applyAlignment="0" applyProtection="0"/>
    <xf numFmtId="0" fontId="37" fillId="0" borderId="25" applyNumberFormat="0" applyFill="0" applyAlignment="0" applyProtection="0"/>
    <xf numFmtId="0" fontId="38" fillId="0" borderId="27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1" fillId="28" borderId="3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113" fillId="0" borderId="0" applyBorder="0" applyProtection="0"/>
    <xf numFmtId="0" fontId="20" fillId="80" borderId="100" applyNumberFormat="0" applyAlignment="0" applyProtection="0"/>
    <xf numFmtId="0" fontId="20" fillId="30" borderId="100" applyNumberFormat="0" applyAlignment="0" applyProtection="0"/>
    <xf numFmtId="0" fontId="20" fillId="80" borderId="100" applyNumberFormat="0" applyAlignment="0" applyProtection="0"/>
    <xf numFmtId="0" fontId="20" fillId="30" borderId="100" applyNumberFormat="0" applyAlignment="0" applyProtection="0"/>
    <xf numFmtId="9" fontId="20" fillId="0" borderId="0" applyFill="0" applyBorder="0" applyAlignment="0" applyProtection="0"/>
    <xf numFmtId="9" fontId="81" fillId="0" borderId="0" applyFill="0" applyBorder="0" applyAlignment="0" applyProtection="0"/>
    <xf numFmtId="9" fontId="51" fillId="0" borderId="0" applyFill="0" applyBorder="0" applyAlignment="0" applyProtection="0"/>
    <xf numFmtId="9" fontId="20" fillId="0" borderId="0" applyFill="0" applyBorder="0" applyAlignment="0" applyProtection="0"/>
    <xf numFmtId="9" fontId="51" fillId="0" borderId="0" applyFill="0" applyBorder="0" applyAlignment="0" applyProtection="0"/>
    <xf numFmtId="0" fontId="52" fillId="0" borderId="34" applyNumberFormat="0" applyFill="0" applyAlignment="0" applyProtection="0"/>
    <xf numFmtId="0" fontId="20" fillId="0" borderId="0"/>
    <xf numFmtId="0" fontId="20" fillId="0" borderId="0"/>
    <xf numFmtId="0" fontId="53" fillId="0" borderId="0" applyNumberFormat="0" applyFill="0" applyBorder="0" applyAlignment="0" applyProtection="0"/>
    <xf numFmtId="165" fontId="51" fillId="0" borderId="0" applyFill="0" applyBorder="0" applyAlignment="0" applyProtection="0"/>
    <xf numFmtId="43" fontId="32" fillId="0" borderId="0" applyFont="0" applyFill="0" applyBorder="0" applyAlignment="0" applyProtection="0"/>
    <xf numFmtId="166" fontId="20" fillId="0" borderId="0" applyFill="0" applyBorder="0" applyAlignment="0" applyProtection="0"/>
    <xf numFmtId="165" fontId="51" fillId="0" borderId="0" applyFill="0" applyBorder="0" applyAlignment="0" applyProtection="0"/>
    <xf numFmtId="169" fontId="20" fillId="0" borderId="0" applyFill="0" applyBorder="0" applyAlignment="0" applyProtection="0"/>
    <xf numFmtId="168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51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3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51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0" fillId="0" borderId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54" fillId="5" borderId="0" applyNumberFormat="0" applyBorder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40" fillId="0" borderId="106" applyNumberFormat="0" applyFill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40" fillId="0" borderId="104" applyNumberFormat="0" applyFill="0" applyAlignmen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24" fillId="22" borderId="102" applyNumberFormat="0" applyAlignment="0" applyProtection="0"/>
    <xf numFmtId="0" fontId="35" fillId="27" borderId="103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44" fillId="30" borderId="105" applyNumberFormat="0" applyProtection="0"/>
    <xf numFmtId="0" fontId="34" fillId="8" borderId="102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40" fillId="0" borderId="104" applyNumberFormat="0" applyFill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4" fillId="8" borderId="102" applyNumberForma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40" fillId="0" borderId="104" applyNumberFormat="0" applyFill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51" fillId="30" borderId="105" applyNumberFormat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4" fillId="8" borderId="102" applyNumberFormat="0" applyAlignment="0" applyProtection="0"/>
    <xf numFmtId="0" fontId="32" fillId="38" borderId="105" applyNumberFormat="0" applyFont="0" applyAlignment="0" applyProtection="0"/>
    <xf numFmtId="0" fontId="34" fillId="8" borderId="102" applyNumberFormat="0" applyAlignment="0" applyProtection="0"/>
    <xf numFmtId="0" fontId="51" fillId="30" borderId="105" applyNumberFormat="0" applyAlignment="0" applyProtection="0"/>
    <xf numFmtId="0" fontId="40" fillId="0" borderId="106" applyNumberFormat="0" applyFill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4" fillId="43" borderId="102" applyNumberFormat="0" applyAlignment="0" applyProtection="0"/>
    <xf numFmtId="0" fontId="51" fillId="22" borderId="105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6" fillId="27" borderId="102" applyNumberForma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35" fillId="48" borderId="103" applyNumberFormat="0" applyAlignment="0" applyProtection="0"/>
    <xf numFmtId="0" fontId="20" fillId="30" borderId="105" applyNumberFormat="0" applyAlignment="0" applyProtection="0"/>
    <xf numFmtId="0" fontId="36" fillId="27" borderId="102" applyNumberForma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44" fillId="30" borderId="105" applyNumberFormat="0" applyProtection="0"/>
    <xf numFmtId="0" fontId="24" fillId="22" borderId="102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6" fillId="27" borderId="102" applyNumberFormat="0" applyProtection="0"/>
    <xf numFmtId="0" fontId="35" fillId="27" borderId="103" applyNumberForma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35" fillId="48" borderId="103" applyNumberFormat="0" applyAlignment="0" applyProtection="0"/>
    <xf numFmtId="0" fontId="24" fillId="22" borderId="102" applyNumberForma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5" fillId="48" borderId="103" applyNumberFormat="0" applyAlignment="0" applyProtection="0"/>
    <xf numFmtId="0" fontId="51" fillId="22" borderId="105" applyNumberFormat="0" applyAlignment="0" applyProtection="0"/>
    <xf numFmtId="0" fontId="36" fillId="48" borderId="102" applyNumberFormat="0" applyAlignment="0" applyProtection="0"/>
    <xf numFmtId="0" fontId="44" fillId="30" borderId="105" applyNumberForma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35" fillId="48" borderId="103" applyNumberFormat="0" applyAlignmen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5" fillId="27" borderId="103" applyNumberFormat="0" applyAlignment="0" applyProtection="0"/>
    <xf numFmtId="0" fontId="36" fillId="27" borderId="102" applyNumberFormat="0" applyProtection="0"/>
    <xf numFmtId="0" fontId="36" fillId="48" borderId="102" applyNumberFormat="0" applyAlignment="0" applyProtection="0"/>
    <xf numFmtId="0" fontId="35" fillId="27" borderId="103" applyNumberFormat="0" applyAlignment="0" applyProtection="0"/>
    <xf numFmtId="0" fontId="32" fillId="38" borderId="105" applyNumberFormat="0" applyFon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24" fillId="22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5" fillId="27" borderId="103" applyNumberForma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51" fillId="22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20" fillId="30" borderId="105" applyNumberForma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45" fillId="22" borderId="105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6" fillId="27" borderId="102" applyNumberFormat="0" applyAlignment="0" applyProtection="0"/>
    <xf numFmtId="0" fontId="44" fillId="30" borderId="105" applyNumberFormat="0" applyProtection="0"/>
    <xf numFmtId="0" fontId="35" fillId="27" borderId="103" applyNumberFormat="0" applyAlignment="0" applyProtection="0"/>
    <xf numFmtId="0" fontId="34" fillId="43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40" fillId="0" borderId="104" applyNumberFormat="0" applyFill="0" applyAlignment="0" applyProtection="0"/>
    <xf numFmtId="0" fontId="36" fillId="27" borderId="102" applyNumberFormat="0" applyAlignment="0" applyProtection="0"/>
    <xf numFmtId="0" fontId="51" fillId="22" borderId="105" applyNumberFormat="0" applyAlignment="0" applyProtection="0"/>
    <xf numFmtId="0" fontId="40" fillId="0" borderId="104" applyNumberFormat="0" applyFill="0" applyAlignment="0" applyProtection="0"/>
    <xf numFmtId="0" fontId="35" fillId="48" borderId="103" applyNumberFormat="0" applyAlignment="0" applyProtection="0"/>
    <xf numFmtId="0" fontId="44" fillId="30" borderId="105" applyNumberFormat="0" applyProtection="0"/>
    <xf numFmtId="0" fontId="34" fillId="43" borderId="102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51" fillId="22" borderId="105" applyNumberFormat="0" applyAlignment="0" applyProtection="0"/>
    <xf numFmtId="0" fontId="36" fillId="27" borderId="102" applyNumberFormat="0" applyProtection="0"/>
    <xf numFmtId="0" fontId="20" fillId="30" borderId="105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34" fillId="8" borderId="102" applyNumberForma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4" fillId="8" borderId="102" applyNumberForma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2" fillId="38" borderId="105" applyNumberFormat="0" applyFont="0" applyAlignment="0" applyProtection="0"/>
    <xf numFmtId="0" fontId="20" fillId="0" borderId="0"/>
    <xf numFmtId="0" fontId="51" fillId="22" borderId="111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35" fillId="48" borderId="103" applyNumberFormat="0" applyAlignment="0" applyProtection="0"/>
    <xf numFmtId="0" fontId="35" fillId="27" borderId="103" applyNumberFormat="0" applyAlignment="0" applyProtection="0"/>
    <xf numFmtId="0" fontId="34" fillId="8" borderId="107" applyNumberFormat="0" applyProtection="0"/>
    <xf numFmtId="0" fontId="34" fillId="43" borderId="102" applyNumberFormat="0" applyAlignment="0" applyProtection="0"/>
    <xf numFmtId="0" fontId="36" fillId="27" borderId="102" applyNumberForma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36" fillId="27" borderId="107" applyNumberFormat="0" applyProtection="0"/>
    <xf numFmtId="0" fontId="24" fillId="22" borderId="107" applyNumberFormat="0" applyAlignment="0" applyProtection="0"/>
    <xf numFmtId="0" fontId="40" fillId="0" borderId="104" applyNumberFormat="0" applyFill="0" applyAlignment="0" applyProtection="0"/>
    <xf numFmtId="0" fontId="34" fillId="36" borderId="102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6" fillId="27" borderId="107" applyNumberFormat="0" applyAlignment="0" applyProtection="0"/>
    <xf numFmtId="0" fontId="36" fillId="27" borderId="102" applyNumberFormat="0" applyProtection="0"/>
    <xf numFmtId="0" fontId="51" fillId="22" borderId="105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5" fillId="27" borderId="103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44" fillId="30" borderId="111" applyNumberFormat="0" applyProtection="0"/>
    <xf numFmtId="0" fontId="44" fillId="30" borderId="111" applyNumberForma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4" fillId="36" borderId="102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24" fillId="22" borderId="107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51" fillId="22" borderId="105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40" fillId="0" borderId="110" applyNumberFormat="0" applyFill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40" fillId="0" borderId="104" applyNumberFormat="0" applyFill="0" applyAlignment="0" applyProtection="0"/>
    <xf numFmtId="0" fontId="51" fillId="30" borderId="111" applyNumberFormat="0" applyAlignment="0" applyProtection="0"/>
    <xf numFmtId="0" fontId="44" fillId="30" borderId="105" applyNumberForma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4" fillId="8" borderId="102" applyNumberFormat="0" applyAlignment="0" applyProtection="0"/>
    <xf numFmtId="0" fontId="40" fillId="0" borderId="110" applyNumberFormat="0" applyFill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4" fillId="36" borderId="102" applyNumberFormat="0" applyAlignment="0" applyProtection="0"/>
    <xf numFmtId="0" fontId="20" fillId="30" borderId="111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8" applyNumberFormat="0" applyAlignment="0" applyProtection="0"/>
    <xf numFmtId="0" fontId="34" fillId="8" borderId="102" applyNumberFormat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51" fillId="30" borderId="111" applyNumberFormat="0" applyAlignment="0" applyProtection="0"/>
    <xf numFmtId="0" fontId="34" fillId="43" borderId="107" applyNumberFormat="0" applyAlignment="0" applyProtection="0"/>
    <xf numFmtId="0" fontId="36" fillId="48" borderId="102" applyNumberFormat="0" applyAlignment="0" applyProtection="0"/>
    <xf numFmtId="0" fontId="34" fillId="8" borderId="107" applyNumberFormat="0" applyAlignment="0" applyProtection="0"/>
    <xf numFmtId="0" fontId="34" fillId="8" borderId="102" applyNumberFormat="0" applyProtection="0"/>
    <xf numFmtId="0" fontId="51" fillId="22" borderId="105" applyNumberFormat="0" applyAlignment="0" applyProtection="0"/>
    <xf numFmtId="0" fontId="45" fillId="22" borderId="111" applyNumberFormat="0" applyAlignment="0" applyProtection="0"/>
    <xf numFmtId="0" fontId="34" fillId="36" borderId="102" applyNumberFormat="0" applyAlignment="0" applyProtection="0"/>
    <xf numFmtId="0" fontId="51" fillId="22" borderId="111" applyNumberFormat="0" applyAlignment="0" applyProtection="0"/>
    <xf numFmtId="0" fontId="20" fillId="30" borderId="105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2" applyNumberFormat="0" applyAlignment="0" applyProtection="0"/>
    <xf numFmtId="0" fontId="36" fillId="27" borderId="107" applyNumberFormat="0" applyAlignment="0" applyProtection="0"/>
    <xf numFmtId="0" fontId="34" fillId="8" borderId="102" applyNumberFormat="0" applyAlignment="0" applyProtection="0"/>
    <xf numFmtId="0" fontId="35" fillId="27" borderId="103" applyNumberFormat="0" applyProtection="0"/>
    <xf numFmtId="0" fontId="34" fillId="43" borderId="102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3" applyNumberFormat="0" applyAlignment="0" applyProtection="0"/>
    <xf numFmtId="0" fontId="44" fillId="30" borderId="111" applyNumberFormat="0" applyProtection="0"/>
    <xf numFmtId="0" fontId="36" fillId="27" borderId="102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24" fillId="22" borderId="102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40" fillId="0" borderId="104" applyNumberFormat="0" applyFill="0" applyAlignment="0" applyProtection="0"/>
    <xf numFmtId="0" fontId="36" fillId="27" borderId="107" applyNumberFormat="0" applyAlignment="0" applyProtection="0"/>
    <xf numFmtId="0" fontId="36" fillId="27" borderId="102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51" fillId="30" borderId="111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5" fillId="27" borderId="108" applyNumberForma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6" fillId="48" borderId="102" applyNumberFormat="0" applyAlignment="0" applyProtection="0"/>
    <xf numFmtId="0" fontId="24" fillId="22" borderId="107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5" fillId="27" borderId="108" applyNumberFormat="0" applyProtection="0"/>
    <xf numFmtId="0" fontId="34" fillId="8" borderId="102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32" fillId="38" borderId="105" applyNumberFormat="0" applyFont="0" applyAlignment="0" applyProtection="0"/>
    <xf numFmtId="0" fontId="51" fillId="22" borderId="105" applyNumberFormat="0" applyAlignment="0" applyProtection="0"/>
    <xf numFmtId="0" fontId="34" fillId="36" borderId="102" applyNumberFormat="0" applyAlignment="0" applyProtection="0"/>
    <xf numFmtId="0" fontId="35" fillId="27" borderId="108" applyNumberFormat="0" applyAlignmen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4" fillId="43" borderId="102" applyNumberFormat="0" applyAlignment="0" applyProtection="0"/>
    <xf numFmtId="0" fontId="36" fillId="48" borderId="102" applyNumberFormat="0" applyAlignment="0" applyProtection="0"/>
    <xf numFmtId="0" fontId="32" fillId="38" borderId="111" applyNumberFormat="0" applyFont="0" applyAlignment="0" applyProtection="0"/>
    <xf numFmtId="0" fontId="35" fillId="27" borderId="103" applyNumberFormat="0" applyProtection="0"/>
    <xf numFmtId="0" fontId="34" fillId="36" borderId="102" applyNumberFormat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2" fillId="38" borderId="105" applyNumberFormat="0" applyFon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20" fillId="30" borderId="105" applyNumberFormat="0" applyAlignment="0" applyProtection="0"/>
    <xf numFmtId="0" fontId="35" fillId="48" borderId="103" applyNumberForma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51" fillId="22" borderId="105" applyNumberFormat="0" applyAlignment="0" applyProtection="0"/>
    <xf numFmtId="0" fontId="24" fillId="22" borderId="102" applyNumberFormat="0" applyAlignment="0" applyProtection="0"/>
    <xf numFmtId="0" fontId="34" fillId="36" borderId="107" applyNumberFormat="0" applyAlignment="0" applyProtection="0"/>
    <xf numFmtId="0" fontId="32" fillId="38" borderId="105" applyNumberFormat="0" applyFon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20" fillId="30" borderId="105" applyNumberFormat="0" applyAlignment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5" fillId="27" borderId="103" applyNumberFormat="0" applyAlignment="0" applyProtection="0"/>
    <xf numFmtId="0" fontId="20" fillId="30" borderId="105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4" fillId="36" borderId="102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34" fillId="43" borderId="102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36" fillId="48" borderId="102" applyNumberFormat="0" applyAlignment="0" applyProtection="0"/>
    <xf numFmtId="0" fontId="35" fillId="27" borderId="108" applyNumberForma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40" fillId="0" borderId="109" applyNumberFormat="0" applyFill="0" applyAlignment="0" applyProtection="0"/>
    <xf numFmtId="0" fontId="45" fillId="22" borderId="105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6" fillId="48" borderId="102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Protection="0"/>
    <xf numFmtId="0" fontId="34" fillId="36" borderId="107" applyNumberFormat="0" applyAlignment="0" applyProtection="0"/>
    <xf numFmtId="0" fontId="40" fillId="0" borderId="104" applyNumberFormat="0" applyFill="0" applyAlignment="0" applyProtection="0"/>
    <xf numFmtId="0" fontId="45" fillId="22" borderId="111" applyNumberForma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51" fillId="30" borderId="111" applyNumberFormat="0" applyAlignment="0" applyProtection="0"/>
    <xf numFmtId="0" fontId="51" fillId="22" borderId="105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51" fillId="22" borderId="105" applyNumberFormat="0" applyAlignment="0" applyProtection="0"/>
    <xf numFmtId="0" fontId="35" fillId="27" borderId="103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4" fillId="43" borderId="102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24" fillId="22" borderId="102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51" fillId="30" borderId="105" applyNumberFormat="0" applyAlignment="0" applyProtection="0"/>
    <xf numFmtId="0" fontId="35" fillId="27" borderId="108" applyNumberFormat="0" applyProtection="0"/>
    <xf numFmtId="0" fontId="34" fillId="43" borderId="107" applyNumberFormat="0" applyAlignment="0" applyProtection="0"/>
    <xf numFmtId="0" fontId="36" fillId="27" borderId="107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5" fillId="27" borderId="108" applyNumberForma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36" borderId="102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51" fillId="30" borderId="105" applyNumberFormat="0" applyAlignment="0" applyProtection="0"/>
    <xf numFmtId="0" fontId="24" fillId="22" borderId="102" applyNumberFormat="0" applyAlignment="0" applyProtection="0"/>
    <xf numFmtId="0" fontId="35" fillId="27" borderId="108" applyNumberFormat="0" applyAlignment="0" applyProtection="0"/>
    <xf numFmtId="0" fontId="20" fillId="30" borderId="105" applyNumberFormat="0" applyAlignment="0" applyProtection="0"/>
    <xf numFmtId="0" fontId="20" fillId="30" borderId="105" applyNumberFormat="0" applyAlignment="0" applyProtection="0"/>
    <xf numFmtId="0" fontId="36" fillId="48" borderId="102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35" fillId="27" borderId="108" applyNumberFormat="0" applyProtection="0"/>
    <xf numFmtId="0" fontId="35" fillId="48" borderId="108" applyNumberFormat="0" applyAlignment="0" applyProtection="0"/>
    <xf numFmtId="0" fontId="45" fillId="22" borderId="111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05" applyNumberFormat="0" applyFon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8" borderId="102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4" fillId="8" borderId="102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40" fillId="0" borderId="110" applyNumberFormat="0" applyFill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2" fillId="38" borderId="105" applyNumberFormat="0" applyFont="0" applyAlignment="0" applyProtection="0"/>
    <xf numFmtId="0" fontId="44" fillId="30" borderId="105" applyNumberFormat="0" applyProtection="0"/>
    <xf numFmtId="0" fontId="35" fillId="48" borderId="108" applyNumberFormat="0" applyAlignment="0" applyProtection="0"/>
    <xf numFmtId="0" fontId="20" fillId="30" borderId="105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20" fillId="30" borderId="105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4" fillId="8" borderId="102" applyNumberFormat="0" applyAlignment="0" applyProtection="0"/>
    <xf numFmtId="0" fontId="20" fillId="30" borderId="111" applyNumberFormat="0" applyAlignment="0" applyProtection="0"/>
    <xf numFmtId="0" fontId="34" fillId="36" borderId="102" applyNumberFormat="0" applyAlignment="0" applyProtection="0"/>
    <xf numFmtId="0" fontId="34" fillId="36" borderId="107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51" fillId="22" borderId="105" applyNumberFormat="0" applyAlignment="0" applyProtection="0"/>
    <xf numFmtId="0" fontId="35" fillId="27" borderId="103" applyNumberFormat="0" applyAlignment="0" applyProtection="0"/>
    <xf numFmtId="0" fontId="35" fillId="27" borderId="108" applyNumberForma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2" applyNumberFormat="0" applyAlignment="0" applyProtection="0"/>
    <xf numFmtId="0" fontId="44" fillId="30" borderId="105" applyNumberForma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5" fillId="48" borderId="103" applyNumberFormat="0" applyAlignment="0" applyProtection="0"/>
    <xf numFmtId="0" fontId="34" fillId="43" borderId="102" applyNumberFormat="0" applyAlignment="0" applyProtection="0"/>
    <xf numFmtId="0" fontId="36" fillId="48" borderId="102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4" fillId="8" borderId="107" applyNumberFormat="0" applyProtection="0"/>
    <xf numFmtId="0" fontId="36" fillId="27" borderId="102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8" borderId="102" applyNumberFormat="0" applyAlignment="0" applyProtection="0"/>
    <xf numFmtId="0" fontId="20" fillId="30" borderId="105" applyNumberFormat="0" applyAlignment="0" applyProtection="0"/>
    <xf numFmtId="0" fontId="32" fillId="38" borderId="111" applyNumberFormat="0" applyFon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51" fillId="30" borderId="105" applyNumberFormat="0" applyAlignment="0" applyProtection="0"/>
    <xf numFmtId="0" fontId="36" fillId="27" borderId="102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44" fillId="30" borderId="105" applyNumberForma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24" fillId="22" borderId="107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Protection="0"/>
    <xf numFmtId="0" fontId="36" fillId="48" borderId="102" applyNumberFormat="0" applyAlignment="0" applyProtection="0"/>
    <xf numFmtId="0" fontId="35" fillId="48" borderId="108" applyNumberFormat="0" applyAlignment="0" applyProtection="0"/>
    <xf numFmtId="0" fontId="34" fillId="8" borderId="102" applyNumberFormat="0" applyAlignment="0" applyProtection="0"/>
    <xf numFmtId="0" fontId="35" fillId="48" borderId="108" applyNumberFormat="0" applyAlignment="0" applyProtection="0"/>
    <xf numFmtId="0" fontId="51" fillId="22" borderId="105" applyNumberFormat="0" applyAlignment="0" applyProtection="0"/>
    <xf numFmtId="0" fontId="45" fillId="22" borderId="105" applyNumberFormat="0" applyAlignment="0" applyProtection="0"/>
    <xf numFmtId="0" fontId="34" fillId="36" borderId="102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44" fillId="30" borderId="105" applyNumberForma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4" fillId="36" borderId="102" applyNumberFormat="0" applyAlignmen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44" fillId="30" borderId="111" applyNumberForma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4" fillId="36" borderId="102" applyNumberFormat="0" applyAlignment="0" applyProtection="0"/>
    <xf numFmtId="0" fontId="45" fillId="22" borderId="105" applyNumberFormat="0" applyAlignment="0" applyProtection="0"/>
    <xf numFmtId="0" fontId="32" fillId="38" borderId="111" applyNumberFormat="0" applyFon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5" fillId="48" borderId="103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4" fillId="8" borderId="102" applyNumberFormat="0" applyProtection="0"/>
    <xf numFmtId="0" fontId="35" fillId="27" borderId="108" applyNumberFormat="0" applyAlignment="0" applyProtection="0"/>
    <xf numFmtId="0" fontId="45" fillId="22" borderId="111" applyNumberFormat="0" applyAlignmen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45" fillId="22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34" fillId="36" borderId="102" applyNumberFormat="0" applyAlignment="0" applyProtection="0"/>
    <xf numFmtId="0" fontId="35" fillId="48" borderId="108" applyNumberFormat="0" applyAlignment="0" applyProtection="0"/>
    <xf numFmtId="0" fontId="34" fillId="43" borderId="102" applyNumberFormat="0" applyAlignment="0" applyProtection="0"/>
    <xf numFmtId="0" fontId="40" fillId="0" borderId="106" applyNumberFormat="0" applyFill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24" fillId="22" borderId="102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51" fillId="30" borderId="111" applyNumberFormat="0" applyAlignment="0" applyProtection="0"/>
    <xf numFmtId="0" fontId="36" fillId="27" borderId="102" applyNumberFormat="0" applyAlignment="0" applyProtection="0"/>
    <xf numFmtId="0" fontId="35" fillId="27" borderId="103" applyNumberFormat="0" applyProtection="0"/>
    <xf numFmtId="0" fontId="51" fillId="30" borderId="111" applyNumberFormat="0" applyAlignment="0" applyProtection="0"/>
    <xf numFmtId="0" fontId="34" fillId="36" borderId="102" applyNumberFormat="0" applyAlignment="0" applyProtection="0"/>
    <xf numFmtId="0" fontId="36" fillId="27" borderId="107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44" fillId="30" borderId="105" applyNumberForma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20" fillId="30" borderId="105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48" borderId="103" applyNumberFormat="0" applyAlignment="0" applyProtection="0"/>
    <xf numFmtId="0" fontId="24" fillId="22" borderId="102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24" fillId="22" borderId="107" applyNumberFormat="0" applyAlignment="0" applyProtection="0"/>
    <xf numFmtId="0" fontId="35" fillId="48" borderId="103" applyNumberFormat="0" applyAlignment="0" applyProtection="0"/>
    <xf numFmtId="0" fontId="32" fillId="38" borderId="105" applyNumberFormat="0" applyFont="0" applyAlignment="0" applyProtection="0"/>
    <xf numFmtId="0" fontId="44" fillId="30" borderId="111" applyNumberFormat="0" applyProtection="0"/>
    <xf numFmtId="0" fontId="34" fillId="8" borderId="107" applyNumberFormat="0" applyProtection="0"/>
    <xf numFmtId="0" fontId="36" fillId="27" borderId="107" applyNumberFormat="0" applyProtection="0"/>
    <xf numFmtId="0" fontId="36" fillId="27" borderId="107" applyNumberFormat="0" applyProtection="0"/>
    <xf numFmtId="0" fontId="51" fillId="22" borderId="111" applyNumberFormat="0" applyAlignment="0" applyProtection="0"/>
    <xf numFmtId="0" fontId="34" fillId="36" borderId="102" applyNumberFormat="0" applyAlignment="0" applyProtection="0"/>
    <xf numFmtId="0" fontId="36" fillId="27" borderId="107" applyNumberFormat="0" applyProtection="0"/>
    <xf numFmtId="0" fontId="35" fillId="27" borderId="103" applyNumberFormat="0" applyAlignment="0" applyProtection="0"/>
    <xf numFmtId="0" fontId="34" fillId="8" borderId="102" applyNumberForma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5" fillId="27" borderId="103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2" fillId="38" borderId="105" applyNumberFormat="0" applyFont="0" applyAlignment="0" applyProtection="0"/>
    <xf numFmtId="0" fontId="35" fillId="27" borderId="108" applyNumberFormat="0" applyProtection="0"/>
    <xf numFmtId="0" fontId="34" fillId="43" borderId="102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45" fillId="22" borderId="105" applyNumberFormat="0" applyAlignment="0" applyProtection="0"/>
    <xf numFmtId="0" fontId="40" fillId="0" borderId="104" applyNumberFormat="0" applyFill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20" fillId="30" borderId="111" applyNumberFormat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4" fillId="36" borderId="102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6" fillId="27" borderId="102" applyNumberFormat="0" applyProtection="0"/>
    <xf numFmtId="0" fontId="35" fillId="27" borderId="103" applyNumberFormat="0" applyAlignment="0" applyProtection="0"/>
    <xf numFmtId="0" fontId="51" fillId="30" borderId="105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4" fillId="8" borderId="102" applyNumberFormat="0" applyAlignment="0" applyProtection="0"/>
    <xf numFmtId="0" fontId="32" fillId="38" borderId="105" applyNumberFormat="0" applyFont="0" applyAlignment="0" applyProtection="0"/>
    <xf numFmtId="0" fontId="20" fillId="30" borderId="105" applyNumberFormat="0" applyAlignment="0" applyProtection="0"/>
    <xf numFmtId="0" fontId="34" fillId="8" borderId="107" applyNumberFormat="0" applyAlignment="0" applyProtection="0"/>
    <xf numFmtId="0" fontId="34" fillId="43" borderId="102" applyNumberFormat="0" applyAlignment="0" applyProtection="0"/>
    <xf numFmtId="0" fontId="35" fillId="27" borderId="108" applyNumberFormat="0" applyProtection="0"/>
    <xf numFmtId="0" fontId="36" fillId="48" borderId="102" applyNumberFormat="0" applyAlignment="0" applyProtection="0"/>
    <xf numFmtId="0" fontId="40" fillId="0" borderId="110" applyNumberFormat="0" applyFill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4" fillId="8" borderId="102" applyNumberFormat="0" applyAlignment="0" applyProtection="0"/>
    <xf numFmtId="0" fontId="35" fillId="27" borderId="108" applyNumberFormat="0" applyAlignment="0" applyProtection="0"/>
    <xf numFmtId="0" fontId="36" fillId="27" borderId="102" applyNumberFormat="0" applyAlignment="0" applyProtection="0"/>
    <xf numFmtId="0" fontId="35" fillId="48" borderId="103" applyNumberFormat="0" applyAlignment="0" applyProtection="0"/>
    <xf numFmtId="0" fontId="20" fillId="30" borderId="105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6" fillId="48" borderId="102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6" fillId="27" borderId="102" applyNumberForma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4" fillId="36" borderId="102" applyNumberFormat="0" applyAlignment="0" applyProtection="0"/>
    <xf numFmtId="0" fontId="40" fillId="0" borderId="104" applyNumberFormat="0" applyFill="0" applyAlignment="0" applyProtection="0"/>
    <xf numFmtId="0" fontId="34" fillId="43" borderId="102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4" fillId="36" borderId="102" applyNumberFormat="0" applyAlignment="0" applyProtection="0"/>
    <xf numFmtId="0" fontId="32" fillId="38" borderId="111" applyNumberFormat="0" applyFont="0" applyAlignment="0" applyProtection="0"/>
    <xf numFmtId="0" fontId="35" fillId="48" borderId="103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34" fillId="36" borderId="102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4" fillId="36" borderId="102" applyNumberFormat="0" applyAlignment="0" applyProtection="0"/>
    <xf numFmtId="0" fontId="24" fillId="22" borderId="102" applyNumberFormat="0" applyAlignment="0" applyProtection="0"/>
    <xf numFmtId="0" fontId="36" fillId="27" borderId="102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51" fillId="30" borderId="105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36" fillId="48" borderId="102" applyNumberFormat="0" applyAlignment="0" applyProtection="0"/>
    <xf numFmtId="0" fontId="20" fillId="30" borderId="105" applyNumberFormat="0" applyAlignment="0" applyProtection="0"/>
    <xf numFmtId="0" fontId="51" fillId="22" borderId="105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51" fillId="30" borderId="111" applyNumberFormat="0" applyAlignment="0" applyProtection="0"/>
    <xf numFmtId="0" fontId="24" fillId="22" borderId="107" applyNumberFormat="0" applyAlignment="0" applyProtection="0"/>
    <xf numFmtId="0" fontId="35" fillId="27" borderId="103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24" fillId="22" borderId="107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8" borderId="102" applyNumberFormat="0" applyProtection="0"/>
    <xf numFmtId="0" fontId="36" fillId="27" borderId="102" applyNumberFormat="0" applyAlignmen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2" fillId="38" borderId="105" applyNumberFormat="0" applyFont="0" applyAlignment="0" applyProtection="0"/>
    <xf numFmtId="0" fontId="44" fillId="30" borderId="105" applyNumberFormat="0" applyProtection="0"/>
    <xf numFmtId="0" fontId="34" fillId="43" borderId="102" applyNumberFormat="0" applyAlignment="0" applyProtection="0"/>
    <xf numFmtId="0" fontId="32" fillId="38" borderId="105" applyNumberFormat="0" applyFont="0" applyAlignment="0" applyProtection="0"/>
    <xf numFmtId="0" fontId="44" fillId="30" borderId="105" applyNumberForma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5" fillId="27" borderId="103" applyNumberFormat="0" applyProtection="0"/>
    <xf numFmtId="0" fontId="51" fillId="22" borderId="111" applyNumberFormat="0" applyAlignment="0" applyProtection="0"/>
    <xf numFmtId="0" fontId="51" fillId="22" borderId="111" applyNumberFormat="0" applyAlignment="0" applyProtection="0"/>
    <xf numFmtId="0" fontId="51" fillId="22" borderId="105" applyNumberFormat="0" applyAlignmen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51" fillId="30" borderId="105" applyNumberFormat="0" applyAlignment="0" applyProtection="0"/>
    <xf numFmtId="0" fontId="32" fillId="38" borderId="105" applyNumberFormat="0" applyFon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20" fillId="30" borderId="105" applyNumberFormat="0" applyAlignment="0" applyProtection="0"/>
    <xf numFmtId="0" fontId="34" fillId="43" borderId="107" applyNumberFormat="0" applyAlignment="0" applyProtection="0"/>
    <xf numFmtId="0" fontId="36" fillId="27" borderId="102" applyNumberFormat="0" applyProtection="0"/>
    <xf numFmtId="0" fontId="34" fillId="36" borderId="107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5" fillId="48" borderId="103" applyNumberForma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40" fillId="0" borderId="104" applyNumberFormat="0" applyFill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36" fillId="48" borderId="102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6" fillId="27" borderId="102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5" fillId="27" borderId="103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6" fillId="48" borderId="107" applyNumberFormat="0" applyAlignment="0" applyProtection="0"/>
    <xf numFmtId="0" fontId="35" fillId="48" borderId="103" applyNumberFormat="0" applyAlignment="0" applyProtection="0"/>
    <xf numFmtId="0" fontId="34" fillId="43" borderId="107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6" fillId="48" borderId="102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44" fillId="30" borderId="105" applyNumberForma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35" fillId="48" borderId="103" applyNumberFormat="0" applyAlignment="0" applyProtection="0"/>
    <xf numFmtId="0" fontId="45" fillId="22" borderId="105" applyNumberFormat="0" applyAlignment="0" applyProtection="0"/>
    <xf numFmtId="0" fontId="51" fillId="22" borderId="111" applyNumberFormat="0" applyAlignment="0" applyProtection="0"/>
    <xf numFmtId="0" fontId="36" fillId="48" borderId="102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51" fillId="30" borderId="111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36" fillId="27" borderId="102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35" fillId="27" borderId="103" applyNumberForma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44" fillId="30" borderId="111" applyNumberFormat="0" applyProtection="0"/>
    <xf numFmtId="0" fontId="40" fillId="0" borderId="110" applyNumberFormat="0" applyFill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4" fillId="43" borderId="102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5" fillId="27" borderId="103" applyNumberForma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51" fillId="22" borderId="105" applyNumberFormat="0" applyAlignmen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6" fillId="48" borderId="102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36" fillId="27" borderId="102" applyNumberFormat="0" applyProtection="0"/>
    <xf numFmtId="0" fontId="34" fillId="36" borderId="102" applyNumberFormat="0" applyAlignment="0" applyProtection="0"/>
    <xf numFmtId="0" fontId="51" fillId="22" borderId="111" applyNumberFormat="0" applyAlignment="0" applyProtection="0"/>
    <xf numFmtId="0" fontId="35" fillId="27" borderId="103" applyNumberFormat="0" applyAlignment="0" applyProtection="0"/>
    <xf numFmtId="0" fontId="34" fillId="36" borderId="107" applyNumberFormat="0" applyAlignment="0" applyProtection="0"/>
    <xf numFmtId="0" fontId="34" fillId="36" borderId="102" applyNumberFormat="0" applyAlignment="0" applyProtection="0"/>
    <xf numFmtId="0" fontId="32" fillId="38" borderId="111" applyNumberFormat="0" applyFont="0" applyAlignment="0" applyProtection="0"/>
    <xf numFmtId="0" fontId="20" fillId="30" borderId="105" applyNumberFormat="0" applyAlignment="0" applyProtection="0"/>
    <xf numFmtId="0" fontId="45" fillId="22" borderId="111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20" fillId="30" borderId="111" applyNumberFormat="0" applyAlignment="0" applyProtection="0"/>
    <xf numFmtId="0" fontId="35" fillId="48" borderId="103" applyNumberFormat="0" applyAlignment="0" applyProtection="0"/>
    <xf numFmtId="0" fontId="35" fillId="27" borderId="108" applyNumberFormat="0" applyProtection="0"/>
    <xf numFmtId="0" fontId="40" fillId="0" borderId="109" applyNumberFormat="0" applyFill="0" applyAlignment="0" applyProtection="0"/>
    <xf numFmtId="0" fontId="34" fillId="8" borderId="102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44" fillId="30" borderId="105" applyNumberForma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27" borderId="102" applyNumberFormat="0" applyProtection="0"/>
    <xf numFmtId="0" fontId="36" fillId="48" borderId="107" applyNumberFormat="0" applyAlignment="0" applyProtection="0"/>
    <xf numFmtId="0" fontId="34" fillId="43" borderId="102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36" fillId="48" borderId="107" applyNumberFormat="0" applyAlignment="0" applyProtection="0"/>
    <xf numFmtId="0" fontId="34" fillId="8" borderId="102" applyNumberFormat="0" applyAlignment="0" applyProtection="0"/>
    <xf numFmtId="0" fontId="34" fillId="36" borderId="107" applyNumberFormat="0" applyAlignment="0" applyProtection="0"/>
    <xf numFmtId="0" fontId="40" fillId="0" borderId="109" applyNumberFormat="0" applyFill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20" fillId="30" borderId="105" applyNumberFormat="0" applyAlignment="0" applyProtection="0"/>
    <xf numFmtId="0" fontId="35" fillId="48" borderId="103" applyNumberFormat="0" applyAlignment="0" applyProtection="0"/>
    <xf numFmtId="0" fontId="44" fillId="30" borderId="111" applyNumberForma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44" fillId="30" borderId="105" applyNumberFormat="0" applyProtection="0"/>
    <xf numFmtId="0" fontId="36" fillId="27" borderId="107" applyNumberFormat="0" applyAlignment="0" applyProtection="0"/>
    <xf numFmtId="0" fontId="32" fillId="38" borderId="105" applyNumberFormat="0" applyFon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2" fillId="38" borderId="111" applyNumberFormat="0" applyFont="0" applyAlignment="0" applyProtection="0"/>
    <xf numFmtId="0" fontId="34" fillId="36" borderId="102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20" fillId="30" borderId="111" applyNumberFormat="0" applyAlignment="0" applyProtection="0"/>
    <xf numFmtId="0" fontId="34" fillId="8" borderId="102" applyNumberFormat="0" applyAlignment="0" applyProtection="0"/>
    <xf numFmtId="0" fontId="35" fillId="27" borderId="108" applyNumberForma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3" applyNumberFormat="0" applyAlignment="0" applyProtection="0"/>
    <xf numFmtId="0" fontId="20" fillId="30" borderId="105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40" fillId="0" borderId="109" applyNumberFormat="0" applyFill="0" applyAlignment="0" applyProtection="0"/>
    <xf numFmtId="0" fontId="36" fillId="48" borderId="102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51" fillId="30" borderId="111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6" fillId="48" borderId="102" applyNumberFormat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4" fillId="8" borderId="102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34" fillId="36" borderId="107" applyNumberFormat="0" applyAlignment="0" applyProtection="0"/>
    <xf numFmtId="0" fontId="51" fillId="30" borderId="111" applyNumberFormat="0" applyAlignment="0" applyProtection="0"/>
    <xf numFmtId="0" fontId="34" fillId="8" borderId="107" applyNumberFormat="0" applyAlignment="0" applyProtection="0"/>
    <xf numFmtId="0" fontId="44" fillId="30" borderId="105" applyNumberFormat="0" applyProtection="0"/>
    <xf numFmtId="0" fontId="51" fillId="22" borderId="105" applyNumberFormat="0" applyAlignment="0" applyProtection="0"/>
    <xf numFmtId="0" fontId="51" fillId="30" borderId="111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34" fillId="8" borderId="102" applyNumberForma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44" fillId="30" borderId="111" applyNumberForma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27" borderId="102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2" fillId="38" borderId="105" applyNumberFormat="0" applyFont="0" applyAlignment="0" applyProtection="0"/>
    <xf numFmtId="0" fontId="34" fillId="8" borderId="107" applyNumberFormat="0" applyAlignment="0" applyProtection="0"/>
    <xf numFmtId="0" fontId="35" fillId="27" borderId="103" applyNumberFormat="0" applyProtection="0"/>
    <xf numFmtId="0" fontId="36" fillId="27" borderId="107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34" fillId="8" borderId="102" applyNumberFormat="0" applyProtection="0"/>
    <xf numFmtId="0" fontId="20" fillId="30" borderId="105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34" fillId="8" borderId="102" applyNumberFormat="0" applyAlignment="0" applyProtection="0"/>
    <xf numFmtId="0" fontId="34" fillId="43" borderId="102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5" fillId="48" borderId="108" applyNumberFormat="0" applyAlignment="0" applyProtection="0"/>
    <xf numFmtId="0" fontId="35" fillId="27" borderId="103" applyNumberForma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36" fillId="27" borderId="102" applyNumberFormat="0" applyAlignment="0" applyProtection="0"/>
    <xf numFmtId="0" fontId="36" fillId="27" borderId="107" applyNumberFormat="0" applyProtection="0"/>
    <xf numFmtId="0" fontId="35" fillId="27" borderId="103" applyNumberFormat="0" applyAlignment="0" applyProtection="0"/>
    <xf numFmtId="0" fontId="20" fillId="30" borderId="111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6" fillId="48" borderId="102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45" fillId="22" borderId="105" applyNumberFormat="0" applyAlignment="0" applyProtection="0"/>
    <xf numFmtId="0" fontId="35" fillId="48" borderId="103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45" fillId="22" borderId="105" applyNumberFormat="0" applyAlignment="0" applyProtection="0"/>
    <xf numFmtId="0" fontId="35" fillId="27" borderId="103" applyNumberForma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44" fillId="30" borderId="111" applyNumberFormat="0" applyProtection="0"/>
    <xf numFmtId="0" fontId="36" fillId="48" borderId="107" applyNumberFormat="0" applyAlignment="0" applyProtection="0"/>
    <xf numFmtId="0" fontId="35" fillId="27" borderId="103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5" fillId="27" borderId="103" applyNumberFormat="0" applyAlignment="0" applyProtection="0"/>
    <xf numFmtId="0" fontId="24" fillId="22" borderId="107" applyNumberFormat="0" applyAlignment="0" applyProtection="0"/>
    <xf numFmtId="0" fontId="36" fillId="48" borderId="102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2" fillId="38" borderId="105" applyNumberFormat="0" applyFon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4" fillId="43" borderId="107" applyNumberFormat="0" applyAlignment="0" applyProtection="0"/>
    <xf numFmtId="0" fontId="34" fillId="8" borderId="102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51" fillId="22" borderId="105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43" borderId="102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24" fillId="22" borderId="107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4" fillId="8" borderId="107" applyNumberFormat="0" applyProtection="0"/>
    <xf numFmtId="0" fontId="34" fillId="43" borderId="102" applyNumberForma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5" fillId="48" borderId="103" applyNumberFormat="0" applyAlignment="0" applyProtection="0"/>
    <xf numFmtId="0" fontId="34" fillId="8" borderId="107" applyNumberFormat="0" applyAlignment="0" applyProtection="0"/>
    <xf numFmtId="0" fontId="35" fillId="48" borderId="103" applyNumberFormat="0" applyAlignment="0" applyProtection="0"/>
    <xf numFmtId="0" fontId="35" fillId="27" borderId="108" applyNumberFormat="0" applyAlignment="0" applyProtection="0"/>
    <xf numFmtId="0" fontId="51" fillId="22" borderId="105" applyNumberFormat="0" applyAlignment="0" applyProtection="0"/>
    <xf numFmtId="0" fontId="34" fillId="8" borderId="107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5" fillId="27" borderId="103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20" fillId="30" borderId="111" applyNumberFormat="0" applyAlignment="0" applyProtection="0"/>
    <xf numFmtId="0" fontId="51" fillId="30" borderId="111" applyNumberFormat="0" applyAlignment="0" applyProtection="0"/>
    <xf numFmtId="0" fontId="35" fillId="48" borderId="103" applyNumberForma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34" fillId="8" borderId="102" applyNumberFormat="0" applyAlignment="0" applyProtection="0"/>
    <xf numFmtId="0" fontId="51" fillId="22" borderId="105" applyNumberFormat="0" applyAlignment="0" applyProtection="0"/>
    <xf numFmtId="0" fontId="36" fillId="27" borderId="107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2" fillId="38" borderId="105" applyNumberFormat="0" applyFont="0" applyAlignment="0" applyProtection="0"/>
    <xf numFmtId="0" fontId="34" fillId="36" borderId="107" applyNumberFormat="0" applyAlignment="0" applyProtection="0"/>
    <xf numFmtId="0" fontId="51" fillId="22" borderId="105" applyNumberForma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Protection="0"/>
    <xf numFmtId="0" fontId="34" fillId="8" borderId="107" applyNumberForma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3" applyNumberForma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34" fillId="8" borderId="107" applyNumberFormat="0" applyProtection="0"/>
    <xf numFmtId="0" fontId="40" fillId="0" borderId="109" applyNumberFormat="0" applyFill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24" fillId="22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36" fillId="48" borderId="102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3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24" fillId="22" borderId="102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45" fillId="22" borderId="111" applyNumberFormat="0" applyAlignment="0" applyProtection="0"/>
    <xf numFmtId="0" fontId="20" fillId="30" borderId="105" applyNumberFormat="0" applyAlignment="0" applyProtection="0"/>
    <xf numFmtId="0" fontId="20" fillId="30" borderId="105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51" fillId="30" borderId="105" applyNumberFormat="0" applyAlignment="0" applyProtection="0"/>
    <xf numFmtId="0" fontId="36" fillId="48" borderId="107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51" fillId="30" borderId="105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51" fillId="22" borderId="105" applyNumberFormat="0" applyAlignment="0" applyProtection="0"/>
    <xf numFmtId="0" fontId="51" fillId="22" borderId="111" applyNumberFormat="0" applyAlignment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2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24" fillId="22" borderId="102" applyNumberFormat="0" applyAlignment="0" applyProtection="0"/>
    <xf numFmtId="0" fontId="36" fillId="27" borderId="107" applyNumberFormat="0" applyProtection="0"/>
    <xf numFmtId="0" fontId="35" fillId="27" borderId="108" applyNumberForma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4" fillId="8" borderId="102" applyNumberFormat="0" applyAlignment="0" applyProtection="0"/>
    <xf numFmtId="0" fontId="51" fillId="30" borderId="111" applyNumberFormat="0" applyAlignment="0" applyProtection="0"/>
    <xf numFmtId="0" fontId="35" fillId="48" borderId="103" applyNumberFormat="0" applyAlignment="0" applyProtection="0"/>
    <xf numFmtId="0" fontId="32" fillId="38" borderId="105" applyNumberFormat="0" applyFon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5" fillId="27" borderId="103" applyNumberFormat="0" applyAlignment="0" applyProtection="0"/>
    <xf numFmtId="0" fontId="34" fillId="36" borderId="107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5" fillId="27" borderId="103" applyNumberFormat="0" applyAlignment="0" applyProtection="0"/>
    <xf numFmtId="0" fontId="44" fillId="30" borderId="105" applyNumberForma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4" fillId="8" borderId="102" applyNumberForma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34" fillId="43" borderId="102" applyNumberFormat="0" applyAlignment="0" applyProtection="0"/>
    <xf numFmtId="0" fontId="35" fillId="27" borderId="108" applyNumberFormat="0" applyAlignment="0" applyProtection="0"/>
    <xf numFmtId="0" fontId="45" fillId="22" borderId="105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6" fillId="27" borderId="102" applyNumberFormat="0" applyAlignment="0" applyProtection="0"/>
    <xf numFmtId="0" fontId="24" fillId="22" borderId="107" applyNumberFormat="0" applyAlignment="0" applyProtection="0"/>
    <xf numFmtId="0" fontId="36" fillId="27" borderId="107" applyNumberFormat="0" applyProtection="0"/>
    <xf numFmtId="0" fontId="40" fillId="0" borderId="109" applyNumberFormat="0" applyFill="0" applyAlignment="0" applyProtection="0"/>
    <xf numFmtId="0" fontId="34" fillId="8" borderId="102" applyNumberFormat="0" applyProtection="0"/>
    <xf numFmtId="0" fontId="35" fillId="48" borderId="108" applyNumberFormat="0" applyAlignment="0" applyProtection="0"/>
    <xf numFmtId="0" fontId="35" fillId="27" borderId="103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43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6" fillId="27" borderId="107" applyNumberForma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8" borderId="102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4" fillId="36" borderId="102" applyNumberFormat="0" applyAlignment="0" applyProtection="0"/>
    <xf numFmtId="0" fontId="51" fillId="30" borderId="105" applyNumberFormat="0" applyAlignment="0" applyProtection="0"/>
    <xf numFmtId="0" fontId="36" fillId="27" borderId="102" applyNumberFormat="0" applyAlignment="0" applyProtection="0"/>
    <xf numFmtId="0" fontId="40" fillId="0" borderId="109" applyNumberFormat="0" applyFill="0" applyAlignment="0" applyProtection="0"/>
    <xf numFmtId="0" fontId="45" fillId="22" borderId="105" applyNumberFormat="0" applyAlignment="0" applyProtection="0"/>
    <xf numFmtId="0" fontId="34" fillId="36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36" fillId="27" borderId="107" applyNumberFormat="0" applyAlignment="0" applyProtection="0"/>
    <xf numFmtId="0" fontId="34" fillId="43" borderId="102" applyNumberFormat="0" applyAlignment="0" applyProtection="0"/>
    <xf numFmtId="0" fontId="36" fillId="27" borderId="102" applyNumberForma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24" fillId="22" borderId="102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44" fillId="30" borderId="111" applyNumberFormat="0" applyProtection="0"/>
    <xf numFmtId="0" fontId="34" fillId="8" borderId="102" applyNumberFormat="0" applyProtection="0"/>
    <xf numFmtId="0" fontId="44" fillId="30" borderId="111" applyNumberFormat="0" applyProtection="0"/>
    <xf numFmtId="0" fontId="51" fillId="22" borderId="111" applyNumberFormat="0" applyAlignment="0" applyProtection="0"/>
    <xf numFmtId="0" fontId="51" fillId="30" borderId="111" applyNumberForma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35" fillId="27" borderId="103" applyNumberFormat="0" applyAlignment="0" applyProtection="0"/>
    <xf numFmtId="0" fontId="35" fillId="48" borderId="108" applyNumberFormat="0" applyAlignment="0" applyProtection="0"/>
    <xf numFmtId="0" fontId="45" fillId="22" borderId="111" applyNumberFormat="0" applyAlignment="0" applyProtection="0"/>
    <xf numFmtId="0" fontId="24" fillId="22" borderId="102" applyNumberFormat="0" applyAlignmen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24" fillId="22" borderId="102" applyNumberFormat="0" applyAlignment="0" applyProtection="0"/>
    <xf numFmtId="0" fontId="36" fillId="48" borderId="107" applyNumberForma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5" fillId="48" borderId="103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24" fillId="22" borderId="102" applyNumberFormat="0" applyAlignment="0" applyProtection="0"/>
    <xf numFmtId="0" fontId="34" fillId="43" borderId="102" applyNumberFormat="0" applyAlignment="0" applyProtection="0"/>
    <xf numFmtId="0" fontId="36" fillId="27" borderId="107" applyNumberFormat="0" applyAlignment="0" applyProtection="0"/>
    <xf numFmtId="0" fontId="40" fillId="0" borderId="104" applyNumberFormat="0" applyFill="0" applyAlignment="0" applyProtection="0"/>
    <xf numFmtId="0" fontId="51" fillId="22" borderId="111" applyNumberFormat="0" applyAlignment="0" applyProtection="0"/>
    <xf numFmtId="0" fontId="20" fillId="30" borderId="111" applyNumberFormat="0" applyAlignment="0" applyProtection="0"/>
    <xf numFmtId="0" fontId="36" fillId="27" borderId="107" applyNumberFormat="0" applyProtection="0"/>
    <xf numFmtId="0" fontId="36" fillId="27" borderId="107" applyNumberForma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45" fillId="22" borderId="111" applyNumberFormat="0" applyAlignment="0" applyProtection="0"/>
    <xf numFmtId="0" fontId="36" fillId="27" borderId="107" applyNumberForma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6" fillId="48" borderId="102" applyNumberFormat="0" applyAlignment="0" applyProtection="0"/>
    <xf numFmtId="0" fontId="44" fillId="30" borderId="105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35" fillId="27" borderId="108" applyNumberFormat="0" applyProtection="0"/>
    <xf numFmtId="0" fontId="36" fillId="48" borderId="102" applyNumberFormat="0" applyAlignment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2" fillId="38" borderId="105" applyNumberFormat="0" applyFon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51" fillId="30" borderId="111" applyNumberFormat="0" applyAlignment="0" applyProtection="0"/>
    <xf numFmtId="0" fontId="36" fillId="27" borderId="107" applyNumberFormat="0" applyProtection="0"/>
    <xf numFmtId="0" fontId="35" fillId="27" borderId="108" applyNumberFormat="0" applyProtection="0"/>
    <xf numFmtId="0" fontId="20" fillId="30" borderId="105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4" fillId="8" borderId="102" applyNumberFormat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44" fillId="30" borderId="105" applyNumberFormat="0" applyProtection="0"/>
    <xf numFmtId="0" fontId="36" fillId="27" borderId="102" applyNumberFormat="0" applyProtection="0"/>
    <xf numFmtId="0" fontId="51" fillId="22" borderId="105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5" fillId="27" borderId="108" applyNumberForma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7" applyNumberFormat="0" applyProtection="0"/>
    <xf numFmtId="0" fontId="35" fillId="27" borderId="108" applyNumberFormat="0" applyAlignment="0" applyProtection="0"/>
    <xf numFmtId="0" fontId="34" fillId="36" borderId="102" applyNumberFormat="0" applyAlignment="0" applyProtection="0"/>
    <xf numFmtId="0" fontId="51" fillId="22" borderId="111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45" fillId="22" borderId="111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44" fillId="30" borderId="111" applyNumberFormat="0" applyProtection="0"/>
    <xf numFmtId="0" fontId="35" fillId="27" borderId="103" applyNumberFormat="0" applyAlignment="0" applyProtection="0"/>
    <xf numFmtId="0" fontId="35" fillId="48" borderId="108" applyNumberFormat="0" applyAlignment="0" applyProtection="0"/>
    <xf numFmtId="0" fontId="36" fillId="48" borderId="102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51" fillId="30" borderId="105" applyNumberFormat="0" applyAlignment="0" applyProtection="0"/>
    <xf numFmtId="0" fontId="44" fillId="30" borderId="111" applyNumberForma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34" fillId="36" borderId="102" applyNumberFormat="0" applyAlignment="0" applyProtection="0"/>
    <xf numFmtId="0" fontId="35" fillId="27" borderId="108" applyNumberForma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5" fillId="48" borderId="103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36" borderId="102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Protection="0"/>
    <xf numFmtId="0" fontId="32" fillId="38" borderId="105" applyNumberFormat="0" applyFont="0" applyAlignment="0" applyProtection="0"/>
    <xf numFmtId="0" fontId="35" fillId="27" borderId="103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05" applyNumberFormat="0" applyAlignment="0" applyProtection="0"/>
    <xf numFmtId="0" fontId="36" fillId="27" borderId="107" applyNumberForma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32" fillId="38" borderId="105" applyNumberFormat="0" applyFon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20" fillId="30" borderId="105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34" fillId="36" borderId="102" applyNumberFormat="0" applyAlignment="0" applyProtection="0"/>
    <xf numFmtId="0" fontId="20" fillId="30" borderId="111" applyNumberFormat="0" applyAlignment="0" applyProtection="0"/>
    <xf numFmtId="0" fontId="35" fillId="48" borderId="103" applyNumberFormat="0" applyAlignment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36" fillId="48" borderId="102" applyNumberForma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5" fillId="27" borderId="103" applyNumberFormat="0" applyAlignment="0" applyProtection="0"/>
    <xf numFmtId="0" fontId="20" fillId="30" borderId="111" applyNumberFormat="0" applyAlignment="0" applyProtection="0"/>
    <xf numFmtId="0" fontId="20" fillId="30" borderId="111" applyNumberFormat="0" applyAlignment="0" applyProtection="0"/>
    <xf numFmtId="0" fontId="36" fillId="27" borderId="102" applyNumberFormat="0" applyProtection="0"/>
    <xf numFmtId="0" fontId="40" fillId="0" borderId="104" applyNumberFormat="0" applyFill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44" fillId="30" borderId="105" applyNumberFormat="0" applyProtection="0"/>
    <xf numFmtId="0" fontId="36" fillId="27" borderId="107" applyNumberFormat="0" applyAlignment="0" applyProtection="0"/>
    <xf numFmtId="0" fontId="36" fillId="48" borderId="102" applyNumberFormat="0" applyAlignment="0" applyProtection="0"/>
    <xf numFmtId="0" fontId="35" fillId="27" borderId="103" applyNumberFormat="0" applyAlignment="0" applyProtection="0"/>
    <xf numFmtId="0" fontId="51" fillId="22" borderId="105" applyNumberFormat="0" applyAlignment="0" applyProtection="0"/>
    <xf numFmtId="0" fontId="36" fillId="27" borderId="107" applyNumberFormat="0" applyProtection="0"/>
    <xf numFmtId="0" fontId="35" fillId="48" borderId="103" applyNumberFormat="0" applyAlignment="0" applyProtection="0"/>
    <xf numFmtId="0" fontId="35" fillId="48" borderId="108" applyNumberForma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20" fillId="30" borderId="105" applyNumberFormat="0" applyAlignment="0" applyProtection="0"/>
    <xf numFmtId="0" fontId="20" fillId="30" borderId="111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45" fillId="22" borderId="105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40" fillId="0" borderId="110" applyNumberFormat="0" applyFill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24" fillId="22" borderId="107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5" fillId="27" borderId="103" applyNumberFormat="0" applyAlignment="0" applyProtection="0"/>
    <xf numFmtId="0" fontId="36" fillId="48" borderId="107" applyNumberForma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51" fillId="22" borderId="105" applyNumberFormat="0" applyAlignment="0" applyProtection="0"/>
    <xf numFmtId="0" fontId="36" fillId="48" borderId="107" applyNumberFormat="0" applyAlignment="0" applyProtection="0"/>
    <xf numFmtId="0" fontId="34" fillId="43" borderId="102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6" fillId="27" borderId="102" applyNumberFormat="0" applyAlignmen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45" fillId="22" borderId="105" applyNumberFormat="0" applyAlignment="0" applyProtection="0"/>
    <xf numFmtId="0" fontId="36" fillId="27" borderId="102" applyNumberFormat="0" applyAlignment="0" applyProtection="0"/>
    <xf numFmtId="0" fontId="34" fillId="43" borderId="102" applyNumberFormat="0" applyAlignment="0" applyProtection="0"/>
    <xf numFmtId="0" fontId="36" fillId="27" borderId="107" applyNumberFormat="0" applyProtection="0"/>
    <xf numFmtId="0" fontId="40" fillId="0" borderId="109" applyNumberFormat="0" applyFill="0" applyAlignment="0" applyProtection="0"/>
    <xf numFmtId="0" fontId="34" fillId="43" borderId="107" applyNumberFormat="0" applyAlignment="0" applyProtection="0"/>
    <xf numFmtId="0" fontId="40" fillId="0" borderId="104" applyNumberFormat="0" applyFill="0" applyAlignment="0" applyProtection="0"/>
    <xf numFmtId="0" fontId="35" fillId="27" borderId="103" applyNumberFormat="0" applyAlignment="0" applyProtection="0"/>
    <xf numFmtId="0" fontId="36" fillId="48" borderId="102" applyNumberFormat="0" applyAlignment="0" applyProtection="0"/>
    <xf numFmtId="0" fontId="40" fillId="0" borderId="106" applyNumberFormat="0" applyFill="0" applyProtection="0"/>
    <xf numFmtId="0" fontId="35" fillId="48" borderId="108" applyNumberFormat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24" fillId="22" borderId="102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51" fillId="22" borderId="105" applyNumberFormat="0" applyAlignment="0" applyProtection="0"/>
    <xf numFmtId="0" fontId="24" fillId="22" borderId="107" applyNumberFormat="0" applyAlignment="0" applyProtection="0"/>
    <xf numFmtId="0" fontId="45" fillId="22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8" borderId="102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Protection="0"/>
    <xf numFmtId="0" fontId="34" fillId="36" borderId="107" applyNumberFormat="0" applyAlignment="0" applyProtection="0"/>
    <xf numFmtId="0" fontId="34" fillId="8" borderId="102" applyNumberFormat="0" applyAlignment="0" applyProtection="0"/>
    <xf numFmtId="0" fontId="36" fillId="27" borderId="107" applyNumberFormat="0" applyProtection="0"/>
    <xf numFmtId="0" fontId="34" fillId="36" borderId="107" applyNumberFormat="0" applyAlignment="0" applyProtection="0"/>
    <xf numFmtId="0" fontId="45" fillId="22" borderId="105" applyNumberFormat="0" applyAlignment="0" applyProtection="0"/>
    <xf numFmtId="0" fontId="36" fillId="27" borderId="102" applyNumberFormat="0" applyProtection="0"/>
    <xf numFmtId="0" fontId="32" fillId="38" borderId="111" applyNumberFormat="0" applyFont="0" applyAlignment="0" applyProtection="0"/>
    <xf numFmtId="0" fontId="32" fillId="38" borderId="105" applyNumberFormat="0" applyFon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5" fillId="48" borderId="103" applyNumberFormat="0" applyAlignment="0" applyProtection="0"/>
    <xf numFmtId="0" fontId="34" fillId="8" borderId="102" applyNumberFormat="0" applyProtection="0"/>
    <xf numFmtId="0" fontId="40" fillId="0" borderId="104" applyNumberFormat="0" applyFill="0" applyAlignment="0" applyProtection="0"/>
    <xf numFmtId="0" fontId="35" fillId="27" borderId="103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45" fillId="22" borderId="105" applyNumberFormat="0" applyAlignmen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4" fillId="8" borderId="102" applyNumberFormat="0" applyAlignment="0" applyProtection="0"/>
    <xf numFmtId="0" fontId="35" fillId="48" borderId="108" applyNumberFormat="0" applyAlignment="0" applyProtection="0"/>
    <xf numFmtId="0" fontId="34" fillId="8" borderId="102" applyNumberForma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44" fillId="30" borderId="111" applyNumberFormat="0" applyProtection="0"/>
    <xf numFmtId="0" fontId="34" fillId="43" borderId="107" applyNumberFormat="0" applyAlignment="0" applyProtection="0"/>
    <xf numFmtId="0" fontId="34" fillId="36" borderId="102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2" fillId="38" borderId="111" applyNumberFormat="0" applyFont="0" applyAlignment="0" applyProtection="0"/>
    <xf numFmtId="0" fontId="40" fillId="0" borderId="104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4" fillId="43" borderId="102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8" borderId="102" applyNumberFormat="0" applyAlignment="0" applyProtection="0"/>
    <xf numFmtId="0" fontId="35" fillId="48" borderId="108" applyNumberFormat="0" applyAlignment="0" applyProtection="0"/>
    <xf numFmtId="0" fontId="40" fillId="0" borderId="106" applyNumberFormat="0" applyFill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44" fillId="30" borderId="105" applyNumberFormat="0" applyProtection="0"/>
    <xf numFmtId="0" fontId="34" fillId="36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51" fillId="30" borderId="105" applyNumberFormat="0" applyAlignment="0" applyProtection="0"/>
    <xf numFmtId="0" fontId="34" fillId="36" borderId="107" applyNumberFormat="0" applyAlignment="0" applyProtection="0"/>
    <xf numFmtId="0" fontId="32" fillId="38" borderId="105" applyNumberFormat="0" applyFon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45" fillId="22" borderId="105" applyNumberFormat="0" applyAlignment="0" applyProtection="0"/>
    <xf numFmtId="0" fontId="44" fillId="30" borderId="105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44" fillId="30" borderId="111" applyNumberForma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51" fillId="30" borderId="111" applyNumberFormat="0" applyAlignment="0" applyProtection="0"/>
    <xf numFmtId="0" fontId="34" fillId="43" borderId="107" applyNumberFormat="0" applyAlignment="0" applyProtection="0"/>
    <xf numFmtId="0" fontId="34" fillId="8" borderId="102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51" fillId="22" borderId="105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27" borderId="103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2" fillId="38" borderId="105" applyNumberFormat="0" applyFon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51" fillId="30" borderId="105" applyNumberFormat="0" applyAlignmen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6" fillId="48" borderId="102" applyNumberFormat="0" applyAlignment="0" applyProtection="0"/>
    <xf numFmtId="0" fontId="34" fillId="36" borderId="107" applyNumberFormat="0" applyAlignment="0" applyProtection="0"/>
    <xf numFmtId="0" fontId="32" fillId="38" borderId="105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45" fillId="22" borderId="111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5" fillId="27" borderId="103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36" fillId="27" borderId="102" applyNumberFormat="0" applyProtection="0"/>
    <xf numFmtId="0" fontId="24" fillId="22" borderId="102" applyNumberFormat="0" applyAlignment="0" applyProtection="0"/>
    <xf numFmtId="0" fontId="36" fillId="27" borderId="107" applyNumberFormat="0" applyProtection="0"/>
    <xf numFmtId="0" fontId="35" fillId="27" borderId="108" applyNumberFormat="0" applyAlignment="0" applyProtection="0"/>
    <xf numFmtId="0" fontId="32" fillId="38" borderId="105" applyNumberFormat="0" applyFon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20" fillId="30" borderId="105" applyNumberFormat="0" applyAlignment="0" applyProtection="0"/>
    <xf numFmtId="0" fontId="34" fillId="36" borderId="107" applyNumberFormat="0" applyAlignment="0" applyProtection="0"/>
    <xf numFmtId="0" fontId="36" fillId="27" borderId="102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40" fillId="0" borderId="110" applyNumberFormat="0" applyFill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34" fillId="36" borderId="107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4" fillId="8" borderId="102" applyNumberFormat="0" applyAlignmen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6" fillId="48" borderId="102" applyNumberFormat="0" applyAlignment="0" applyProtection="0"/>
    <xf numFmtId="0" fontId="32" fillId="38" borderId="111" applyNumberFormat="0" applyFont="0" applyAlignment="0" applyProtection="0"/>
    <xf numFmtId="0" fontId="20" fillId="30" borderId="105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5" fillId="27" borderId="108" applyNumberForma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4" fillId="8" borderId="102" applyNumberForma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4" fillId="36" borderId="102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2" fillId="38" borderId="105" applyNumberFormat="0" applyFon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4" fillId="36" borderId="102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20" fillId="30" borderId="105" applyNumberFormat="0" applyAlignment="0" applyProtection="0"/>
    <xf numFmtId="0" fontId="35" fillId="27" borderId="108" applyNumberFormat="0" applyAlignment="0" applyProtection="0"/>
    <xf numFmtId="0" fontId="34" fillId="8" borderId="102" applyNumberFormat="0" applyAlignment="0" applyProtection="0"/>
    <xf numFmtId="0" fontId="35" fillId="27" borderId="108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36" fillId="27" borderId="102" applyNumberFormat="0" applyAlignment="0" applyProtection="0"/>
    <xf numFmtId="0" fontId="44" fillId="30" borderId="111" applyNumberForma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4" fillId="36" borderId="102" applyNumberFormat="0" applyAlignment="0" applyProtection="0"/>
    <xf numFmtId="0" fontId="45" fillId="22" borderId="105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2" fillId="38" borderId="105" applyNumberFormat="0" applyFont="0" applyAlignment="0" applyProtection="0"/>
    <xf numFmtId="0" fontId="35" fillId="27" borderId="108" applyNumberFormat="0" applyAlignment="0" applyProtection="0"/>
    <xf numFmtId="0" fontId="32" fillId="38" borderId="105" applyNumberFormat="0" applyFont="0" applyAlignment="0" applyProtection="0"/>
    <xf numFmtId="0" fontId="36" fillId="27" borderId="107" applyNumberFormat="0" applyProtection="0"/>
    <xf numFmtId="0" fontId="51" fillId="30" borderId="105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4" fillId="8" borderId="102" applyNumberFormat="0" applyProtection="0"/>
    <xf numFmtId="0" fontId="20" fillId="30" borderId="105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5" fillId="27" borderId="103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6" fillId="27" borderId="102" applyNumberFormat="0" applyAlignment="0" applyProtection="0"/>
    <xf numFmtId="0" fontId="34" fillId="8" borderId="107" applyNumberFormat="0" applyProtection="0"/>
    <xf numFmtId="0" fontId="35" fillId="48" borderId="103" applyNumberFormat="0" applyAlignment="0" applyProtection="0"/>
    <xf numFmtId="0" fontId="35" fillId="27" borderId="108" applyNumberFormat="0" applyProtection="0"/>
    <xf numFmtId="0" fontId="34" fillId="43" borderId="102" applyNumberFormat="0" applyAlignment="0" applyProtection="0"/>
    <xf numFmtId="0" fontId="36" fillId="27" borderId="107" applyNumberFormat="0" applyAlignment="0" applyProtection="0"/>
    <xf numFmtId="0" fontId="24" fillId="22" borderId="107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5" fillId="27" borderId="103" applyNumberForma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6" fillId="48" borderId="102" applyNumberFormat="0" applyAlignment="0" applyProtection="0"/>
    <xf numFmtId="0" fontId="20" fillId="30" borderId="111" applyNumberFormat="0" applyAlignment="0" applyProtection="0"/>
    <xf numFmtId="0" fontId="35" fillId="27" borderId="108" applyNumberForma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45" fillId="22" borderId="111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6" fillId="48" borderId="102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36" fillId="27" borderId="102" applyNumberForma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40" fillId="0" borderId="104" applyNumberFormat="0" applyFill="0" applyAlignment="0" applyProtection="0"/>
    <xf numFmtId="0" fontId="34" fillId="8" borderId="102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30" borderId="105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4" fillId="43" borderId="102" applyNumberFormat="0" applyAlignment="0" applyProtection="0"/>
    <xf numFmtId="0" fontId="51" fillId="30" borderId="105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4" fillId="8" borderId="102" applyNumberFormat="0" applyProtection="0"/>
    <xf numFmtId="0" fontId="34" fillId="43" borderId="107" applyNumberFormat="0" applyAlignment="0" applyProtection="0"/>
    <xf numFmtId="0" fontId="40" fillId="0" borderId="109" applyNumberFormat="0" applyFill="0" applyAlignment="0" applyProtection="0"/>
    <xf numFmtId="0" fontId="35" fillId="27" borderId="103" applyNumberFormat="0" applyAlignment="0" applyProtection="0"/>
    <xf numFmtId="0" fontId="32" fillId="38" borderId="105" applyNumberFormat="0" applyFont="0" applyAlignment="0" applyProtection="0"/>
    <xf numFmtId="0" fontId="20" fillId="30" borderId="105" applyNumberFormat="0" applyAlignment="0" applyProtection="0"/>
    <xf numFmtId="0" fontId="35" fillId="48" borderId="103" applyNumberFormat="0" applyAlignment="0" applyProtection="0"/>
    <xf numFmtId="0" fontId="44" fillId="30" borderId="111" applyNumberForma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34" fillId="43" borderId="107" applyNumberFormat="0" applyAlignment="0" applyProtection="0"/>
    <xf numFmtId="0" fontId="34" fillId="43" borderId="102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4" fillId="8" borderId="102" applyNumberForma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Alignment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44" fillId="30" borderId="105" applyNumberForma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5" fillId="27" borderId="103" applyNumberFormat="0" applyAlignment="0" applyProtection="0"/>
    <xf numFmtId="0" fontId="32" fillId="38" borderId="111" applyNumberFormat="0" applyFont="0" applyAlignment="0" applyProtection="0"/>
    <xf numFmtId="0" fontId="20" fillId="30" borderId="105" applyNumberForma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6" fillId="27" borderId="107" applyNumberFormat="0" applyAlignment="0" applyProtection="0"/>
    <xf numFmtId="0" fontId="24" fillId="22" borderId="107" applyNumberFormat="0" applyAlignment="0" applyProtection="0"/>
    <xf numFmtId="0" fontId="20" fillId="30" borderId="105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45" fillId="22" borderId="111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2" applyNumberFormat="0" applyProtection="0"/>
    <xf numFmtId="0" fontId="36" fillId="48" borderId="107" applyNumberFormat="0" applyAlignment="0" applyProtection="0"/>
    <xf numFmtId="0" fontId="35" fillId="27" borderId="108" applyNumberForma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6" fillId="27" borderId="102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27" borderId="103" applyNumberFormat="0" applyAlignment="0" applyProtection="0"/>
    <xf numFmtId="0" fontId="40" fillId="0" borderId="104" applyNumberFormat="0" applyFill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40" fillId="0" borderId="106" applyNumberFormat="0" applyFill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40" fillId="0" borderId="104" applyNumberFormat="0" applyFill="0" applyAlignmen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40" fillId="0" borderId="106" applyNumberFormat="0" applyFill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40" fillId="0" borderId="104" applyNumberFormat="0" applyFill="0" applyAlignmen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24" fillId="22" borderId="102" applyNumberFormat="0" applyAlignment="0" applyProtection="0"/>
    <xf numFmtId="0" fontId="35" fillId="27" borderId="103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44" fillId="30" borderId="105" applyNumberFormat="0" applyProtection="0"/>
    <xf numFmtId="0" fontId="34" fillId="8" borderId="102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40" fillId="0" borderId="104" applyNumberFormat="0" applyFill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4" fillId="8" borderId="102" applyNumberForma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40" fillId="0" borderId="104" applyNumberFormat="0" applyFill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51" fillId="30" borderId="105" applyNumberFormat="0" applyAlignment="0" applyProtection="0"/>
    <xf numFmtId="0" fontId="32" fillId="38" borderId="105" applyNumberFormat="0" applyFont="0" applyAlignmen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4" fillId="8" borderId="102" applyNumberFormat="0" applyAlignment="0" applyProtection="0"/>
    <xf numFmtId="0" fontId="32" fillId="38" borderId="105" applyNumberFormat="0" applyFont="0" applyAlignment="0" applyProtection="0"/>
    <xf numFmtId="0" fontId="34" fillId="8" borderId="102" applyNumberFormat="0" applyAlignment="0" applyProtection="0"/>
    <xf numFmtId="0" fontId="51" fillId="30" borderId="105" applyNumberFormat="0" applyAlignment="0" applyProtection="0"/>
    <xf numFmtId="0" fontId="40" fillId="0" borderId="106" applyNumberFormat="0" applyFill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4" fillId="43" borderId="102" applyNumberFormat="0" applyAlignment="0" applyProtection="0"/>
    <xf numFmtId="0" fontId="51" fillId="22" borderId="105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6" fillId="27" borderId="102" applyNumberForma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35" fillId="48" borderId="103" applyNumberFormat="0" applyAlignment="0" applyProtection="0"/>
    <xf numFmtId="0" fontId="20" fillId="30" borderId="105" applyNumberFormat="0" applyAlignment="0" applyProtection="0"/>
    <xf numFmtId="0" fontId="36" fillId="27" borderId="102" applyNumberFormat="0" applyAlignment="0" applyProtection="0"/>
    <xf numFmtId="0" fontId="35" fillId="27" borderId="103" applyNumberFormat="0" applyAlignment="0" applyProtection="0"/>
    <xf numFmtId="0" fontId="34" fillId="36" borderId="102" applyNumberFormat="0" applyAlignment="0" applyProtection="0"/>
    <xf numFmtId="0" fontId="44" fillId="30" borderId="105" applyNumberFormat="0" applyProtection="0"/>
    <xf numFmtId="0" fontId="24" fillId="22" borderId="102" applyNumberFormat="0" applyAlignment="0" applyProtection="0"/>
    <xf numFmtId="0" fontId="35" fillId="48" borderId="103" applyNumberFormat="0" applyAlignment="0" applyProtection="0"/>
    <xf numFmtId="0" fontId="34" fillId="8" borderId="102" applyNumberFormat="0" applyAlignment="0" applyProtection="0"/>
    <xf numFmtId="0" fontId="36" fillId="27" borderId="102" applyNumberFormat="0" applyProtection="0"/>
    <xf numFmtId="0" fontId="35" fillId="27" borderId="103" applyNumberForma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35" fillId="48" borderId="103" applyNumberFormat="0" applyAlignment="0" applyProtection="0"/>
    <xf numFmtId="0" fontId="24" fillId="22" borderId="102" applyNumberForma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5" fillId="48" borderId="103" applyNumberFormat="0" applyAlignment="0" applyProtection="0"/>
    <xf numFmtId="0" fontId="51" fillId="22" borderId="105" applyNumberFormat="0" applyAlignment="0" applyProtection="0"/>
    <xf numFmtId="0" fontId="36" fillId="48" borderId="102" applyNumberFormat="0" applyAlignment="0" applyProtection="0"/>
    <xf numFmtId="0" fontId="44" fillId="30" borderId="105" applyNumberForma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35" fillId="48" borderId="103" applyNumberFormat="0" applyAlignmen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5" fillId="27" borderId="103" applyNumberFormat="0" applyAlignment="0" applyProtection="0"/>
    <xf numFmtId="0" fontId="36" fillId="27" borderId="102" applyNumberFormat="0" applyProtection="0"/>
    <xf numFmtId="0" fontId="36" fillId="48" borderId="102" applyNumberFormat="0" applyAlignment="0" applyProtection="0"/>
    <xf numFmtId="0" fontId="35" fillId="27" borderId="103" applyNumberFormat="0" applyAlignment="0" applyProtection="0"/>
    <xf numFmtId="0" fontId="32" fillId="38" borderId="105" applyNumberFormat="0" applyFon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24" fillId="22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5" fillId="27" borderId="103" applyNumberForma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51" fillId="22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20" fillId="30" borderId="105" applyNumberForma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45" fillId="22" borderId="105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6" fillId="48" borderId="102" applyNumberFormat="0" applyAlignment="0" applyProtection="0"/>
    <xf numFmtId="0" fontId="51" fillId="22" borderId="105" applyNumberFormat="0" applyAlignment="0" applyProtection="0"/>
    <xf numFmtId="0" fontId="36" fillId="27" borderId="102" applyNumberFormat="0" applyAlignment="0" applyProtection="0"/>
    <xf numFmtId="0" fontId="44" fillId="30" borderId="105" applyNumberFormat="0" applyProtection="0"/>
    <xf numFmtId="0" fontId="35" fillId="27" borderId="103" applyNumberFormat="0" applyAlignment="0" applyProtection="0"/>
    <xf numFmtId="0" fontId="34" fillId="43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40" fillId="0" borderId="104" applyNumberFormat="0" applyFill="0" applyAlignment="0" applyProtection="0"/>
    <xf numFmtId="0" fontId="36" fillId="27" borderId="102" applyNumberFormat="0" applyAlignment="0" applyProtection="0"/>
    <xf numFmtId="0" fontId="51" fillId="22" borderId="105" applyNumberFormat="0" applyAlignment="0" applyProtection="0"/>
    <xf numFmtId="0" fontId="40" fillId="0" borderId="104" applyNumberFormat="0" applyFill="0" applyAlignment="0" applyProtection="0"/>
    <xf numFmtId="0" fontId="35" fillId="48" borderId="103" applyNumberFormat="0" applyAlignment="0" applyProtection="0"/>
    <xf numFmtId="0" fontId="44" fillId="30" borderId="105" applyNumberFormat="0" applyProtection="0"/>
    <xf numFmtId="0" fontId="34" fillId="43" borderId="102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51" fillId="22" borderId="105" applyNumberFormat="0" applyAlignment="0" applyProtection="0"/>
    <xf numFmtId="0" fontId="36" fillId="27" borderId="102" applyNumberFormat="0" applyProtection="0"/>
    <xf numFmtId="0" fontId="20" fillId="30" borderId="105" applyNumberFormat="0" applyAlignment="0" applyProtection="0"/>
    <xf numFmtId="0" fontId="34" fillId="8" borderId="102" applyNumberFormat="0" applyAlignment="0" applyProtection="0"/>
    <xf numFmtId="0" fontId="34" fillId="36" borderId="102" applyNumberFormat="0" applyAlignment="0" applyProtection="0"/>
    <xf numFmtId="0" fontId="34" fillId="8" borderId="102" applyNumberForma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36" fillId="27" borderId="102" applyNumberFormat="0" applyAlignment="0" applyProtection="0"/>
    <xf numFmtId="0" fontId="36" fillId="27" borderId="102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4" fillId="36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4" fillId="8" borderId="102" applyNumberForma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4" fillId="43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40" fillId="0" borderId="104" applyNumberFormat="0" applyFill="0" applyAlignment="0" applyProtection="0"/>
    <xf numFmtId="0" fontId="45" fillId="22" borderId="105" applyNumberFormat="0" applyAlignment="0" applyProtection="0"/>
    <xf numFmtId="0" fontId="45" fillId="22" borderId="105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20" fillId="30" borderId="105" applyNumberFormat="0" applyAlignment="0" applyProtection="0"/>
    <xf numFmtId="0" fontId="44" fillId="30" borderId="105" applyNumberFormat="0" applyProtection="0"/>
    <xf numFmtId="0" fontId="20" fillId="30" borderId="105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36" fillId="48" borderId="102" applyNumberFormat="0" applyAlignment="0" applyProtection="0"/>
    <xf numFmtId="0" fontId="32" fillId="38" borderId="105" applyNumberFormat="0" applyFon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40" fillId="0" borderId="109" applyNumberFormat="0" applyFill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4" fillId="43" borderId="102" applyNumberFormat="0" applyAlignment="0" applyProtection="0"/>
    <xf numFmtId="0" fontId="44" fillId="30" borderId="111" applyNumberFormat="0" applyProtection="0"/>
    <xf numFmtId="0" fontId="32" fillId="38" borderId="105" applyNumberFormat="0" applyFont="0" applyAlignment="0" applyProtection="0"/>
    <xf numFmtId="0" fontId="35" fillId="27" borderId="103" applyNumberForma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51" fillId="22" borderId="105" applyNumberFormat="0" applyAlignment="0" applyProtection="0"/>
    <xf numFmtId="0" fontId="36" fillId="48" borderId="107" applyNumberFormat="0" applyAlignment="0" applyProtection="0"/>
    <xf numFmtId="0" fontId="40" fillId="0" borderId="104" applyNumberFormat="0" applyFill="0" applyAlignment="0" applyProtection="0"/>
    <xf numFmtId="0" fontId="34" fillId="36" borderId="102" applyNumberFormat="0" applyAlignment="0" applyProtection="0"/>
    <xf numFmtId="0" fontId="34" fillId="43" borderId="107" applyNumberFormat="0" applyAlignment="0" applyProtection="0"/>
    <xf numFmtId="0" fontId="36" fillId="27" borderId="102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45" fillId="22" borderId="111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44" fillId="30" borderId="111" applyNumberFormat="0" applyProtection="0"/>
    <xf numFmtId="0" fontId="20" fillId="30" borderId="105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44" fillId="30" borderId="111" applyNumberFormat="0" applyProtection="0"/>
    <xf numFmtId="0" fontId="40" fillId="0" borderId="109" applyNumberFormat="0" applyFill="0" applyAlignment="0" applyProtection="0"/>
    <xf numFmtId="0" fontId="36" fillId="48" borderId="102" applyNumberFormat="0" applyAlignment="0" applyProtection="0"/>
    <xf numFmtId="0" fontId="51" fillId="30" borderId="111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24" fillId="22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20" fillId="30" borderId="111" applyNumberFormat="0" applyAlignment="0" applyProtection="0"/>
    <xf numFmtId="0" fontId="34" fillId="36" borderId="102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35" fillId="27" borderId="108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5" fillId="27" borderId="103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Protection="0"/>
    <xf numFmtId="0" fontId="32" fillId="38" borderId="111" applyNumberFormat="0" applyFont="0" applyAlignment="0" applyProtection="0"/>
    <xf numFmtId="0" fontId="36" fillId="48" borderId="102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Protection="0"/>
    <xf numFmtId="0" fontId="34" fillId="8" borderId="107" applyNumberFormat="0" applyAlignment="0" applyProtection="0"/>
    <xf numFmtId="0" fontId="35" fillId="27" borderId="108" applyNumberFormat="0" applyProtection="0"/>
    <xf numFmtId="0" fontId="45" fillId="22" borderId="111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4" fillId="43" borderId="102" applyNumberFormat="0" applyAlignment="0" applyProtection="0"/>
    <xf numFmtId="0" fontId="36" fillId="27" borderId="102" applyNumberFormat="0" applyProtection="0"/>
    <xf numFmtId="0" fontId="36" fillId="48" borderId="102" applyNumberFormat="0" applyAlignmen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8" borderId="102" applyNumberFormat="0" applyProtection="0"/>
    <xf numFmtId="0" fontId="40" fillId="0" borderId="104" applyNumberFormat="0" applyFill="0" applyAlignment="0" applyProtection="0"/>
    <xf numFmtId="0" fontId="36" fillId="27" borderId="107" applyNumberFormat="0" applyAlignment="0" applyProtection="0"/>
    <xf numFmtId="0" fontId="40" fillId="0" borderId="104" applyNumberFormat="0" applyFill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45" fillId="22" borderId="111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24" fillId="22" borderId="107" applyNumberFormat="0" applyAlignment="0" applyProtection="0"/>
    <xf numFmtId="0" fontId="40" fillId="0" borderId="109" applyNumberFormat="0" applyFill="0" applyAlignment="0" applyProtection="0"/>
    <xf numFmtId="0" fontId="51" fillId="30" borderId="111" applyNumberFormat="0" applyAlignment="0" applyProtection="0"/>
    <xf numFmtId="0" fontId="35" fillId="27" borderId="103" applyNumberFormat="0" applyAlignment="0" applyProtection="0"/>
    <xf numFmtId="0" fontId="34" fillId="43" borderId="102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6" fillId="48" borderId="102" applyNumberFormat="0" applyAlignment="0" applyProtection="0"/>
    <xf numFmtId="0" fontId="36" fillId="48" borderId="107" applyNumberFormat="0" applyAlignment="0" applyProtection="0"/>
    <xf numFmtId="0" fontId="40" fillId="0" borderId="104" applyNumberFormat="0" applyFill="0" applyAlignment="0" applyProtection="0"/>
    <xf numFmtId="0" fontId="40" fillId="0" borderId="104" applyNumberFormat="0" applyFill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5" fillId="27" borderId="103" applyNumberFormat="0" applyAlignment="0" applyProtection="0"/>
    <xf numFmtId="0" fontId="24" fillId="22" borderId="107" applyNumberFormat="0" applyAlignment="0" applyProtection="0"/>
    <xf numFmtId="0" fontId="34" fillId="43" borderId="102" applyNumberFormat="0" applyAlignment="0" applyProtection="0"/>
    <xf numFmtId="0" fontId="20" fillId="30" borderId="105" applyNumberFormat="0" applyAlignment="0" applyProtection="0"/>
    <xf numFmtId="0" fontId="32" fillId="38" borderId="105" applyNumberFormat="0" applyFont="0" applyAlignment="0" applyProtection="0"/>
    <xf numFmtId="0" fontId="34" fillId="43" borderId="102" applyNumberFormat="0" applyAlignment="0" applyProtection="0"/>
    <xf numFmtId="0" fontId="36" fillId="27" borderId="107" applyNumberForma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35" fillId="48" borderId="103" applyNumberFormat="0" applyAlignment="0" applyProtection="0"/>
    <xf numFmtId="0" fontId="36" fillId="27" borderId="107" applyNumberForma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5" fillId="48" borderId="108" applyNumberFormat="0" applyAlignment="0" applyProtection="0"/>
    <xf numFmtId="0" fontId="35" fillId="27" borderId="103" applyNumberForma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36" fillId="48" borderId="102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45" fillId="22" borderId="111" applyNumberFormat="0" applyAlignment="0" applyProtection="0"/>
    <xf numFmtId="0" fontId="32" fillId="38" borderId="105" applyNumberFormat="0" applyFont="0" applyAlignment="0" applyProtection="0"/>
    <xf numFmtId="0" fontId="34" fillId="43" borderId="107" applyNumberFormat="0" applyAlignment="0" applyProtection="0"/>
    <xf numFmtId="0" fontId="24" fillId="22" borderId="107" applyNumberFormat="0" applyAlignment="0" applyProtection="0"/>
    <xf numFmtId="0" fontId="34" fillId="43" borderId="102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36" fillId="27" borderId="102" applyNumberFormat="0" applyAlignment="0" applyProtection="0"/>
    <xf numFmtId="0" fontId="20" fillId="30" borderId="111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Protection="0"/>
    <xf numFmtId="0" fontId="36" fillId="48" borderId="102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5" fillId="27" borderId="103" applyNumberFormat="0" applyAlignment="0" applyProtection="0"/>
    <xf numFmtId="0" fontId="34" fillId="8" borderId="102" applyNumberFormat="0" applyAlignment="0" applyProtection="0"/>
    <xf numFmtId="0" fontId="36" fillId="27" borderId="102" applyNumberFormat="0" applyAlignment="0" applyProtection="0"/>
    <xf numFmtId="0" fontId="34" fillId="8" borderId="102" applyNumberFormat="0" applyAlignment="0" applyProtection="0"/>
    <xf numFmtId="0" fontId="34" fillId="8" borderId="102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27" borderId="102" applyNumberFormat="0" applyAlignment="0" applyProtection="0"/>
    <xf numFmtId="0" fontId="34" fillId="43" borderId="102" applyNumberFormat="0" applyAlignment="0" applyProtection="0"/>
    <xf numFmtId="0" fontId="35" fillId="48" borderId="108" applyNumberFormat="0" applyAlignment="0" applyProtection="0"/>
    <xf numFmtId="0" fontId="35" fillId="27" borderId="103" applyNumberForma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36" fillId="48" borderId="102" applyNumberFormat="0" applyAlignmen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40" fillId="0" borderId="110" applyNumberFormat="0" applyFill="0" applyProtection="0"/>
    <xf numFmtId="0" fontId="51" fillId="30" borderId="105" applyNumberFormat="0" applyAlignment="0" applyProtection="0"/>
    <xf numFmtId="0" fontId="34" fillId="36" borderId="107" applyNumberFormat="0" applyAlignment="0" applyProtection="0"/>
    <xf numFmtId="0" fontId="36" fillId="48" borderId="102" applyNumberFormat="0" applyAlignment="0" applyProtection="0"/>
    <xf numFmtId="0" fontId="44" fillId="30" borderId="111" applyNumberFormat="0" applyProtection="0"/>
    <xf numFmtId="0" fontId="34" fillId="8" borderId="107" applyNumberFormat="0" applyAlignment="0" applyProtection="0"/>
    <xf numFmtId="0" fontId="35" fillId="27" borderId="103" applyNumberFormat="0" applyAlignment="0" applyProtection="0"/>
    <xf numFmtId="0" fontId="35" fillId="27" borderId="108" applyNumberFormat="0" applyAlignment="0" applyProtection="0"/>
    <xf numFmtId="0" fontId="35" fillId="48" borderId="103" applyNumberFormat="0" applyAlignment="0" applyProtection="0"/>
    <xf numFmtId="0" fontId="44" fillId="30" borderId="105" applyNumberFormat="0" applyProtection="0"/>
    <xf numFmtId="0" fontId="35" fillId="48" borderId="103" applyNumberFormat="0" applyAlignment="0" applyProtection="0"/>
    <xf numFmtId="0" fontId="20" fillId="30" borderId="105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34" fillId="8" borderId="102" applyNumberFormat="0" applyAlignment="0" applyProtection="0"/>
    <xf numFmtId="0" fontId="45" fillId="22" borderId="105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24" fillId="22" borderId="107" applyNumberFormat="0" applyAlignment="0" applyProtection="0"/>
    <xf numFmtId="0" fontId="34" fillId="36" borderId="102" applyNumberFormat="0" applyAlignment="0" applyProtection="0"/>
    <xf numFmtId="0" fontId="40" fillId="0" borderId="104" applyNumberFormat="0" applyFill="0" applyAlignment="0" applyProtection="0"/>
    <xf numFmtId="0" fontId="44" fillId="30" borderId="105" applyNumberFormat="0" applyProtection="0"/>
    <xf numFmtId="0" fontId="51" fillId="30" borderId="111" applyNumberFormat="0" applyAlignment="0" applyProtection="0"/>
    <xf numFmtId="0" fontId="40" fillId="0" borderId="104" applyNumberFormat="0" applyFill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44" fillId="30" borderId="105" applyNumberFormat="0" applyProtection="0"/>
    <xf numFmtId="0" fontId="35" fillId="27" borderId="103" applyNumberFormat="0" applyAlignment="0" applyProtection="0"/>
    <xf numFmtId="0" fontId="34" fillId="8" borderId="107" applyNumberFormat="0" applyAlignment="0" applyProtection="0"/>
    <xf numFmtId="0" fontId="34" fillId="43" borderId="102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Protection="0"/>
    <xf numFmtId="0" fontId="35" fillId="27" borderId="108" applyNumberFormat="0" applyAlignment="0" applyProtection="0"/>
    <xf numFmtId="0" fontId="36" fillId="27" borderId="102" applyNumberFormat="0" applyAlignment="0" applyProtection="0"/>
    <xf numFmtId="0" fontId="32" fillId="38" borderId="105" applyNumberFormat="0" applyFont="0" applyAlignment="0" applyProtection="0"/>
    <xf numFmtId="0" fontId="45" fillId="22" borderId="105" applyNumberFormat="0" applyAlignment="0" applyProtection="0"/>
    <xf numFmtId="0" fontId="51" fillId="22" borderId="105" applyNumberFormat="0" applyAlignment="0" applyProtection="0"/>
    <xf numFmtId="0" fontId="35" fillId="48" borderId="108" applyNumberFormat="0" applyAlignment="0" applyProtection="0"/>
    <xf numFmtId="0" fontId="51" fillId="22" borderId="105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20" fillId="30" borderId="105" applyNumberFormat="0" applyAlignment="0" applyProtection="0"/>
    <xf numFmtId="0" fontId="36" fillId="27" borderId="102" applyNumberFormat="0" applyAlignment="0" applyProtection="0"/>
    <xf numFmtId="0" fontId="36" fillId="27" borderId="107" applyNumberFormat="0" applyProtection="0"/>
    <xf numFmtId="0" fontId="34" fillId="43" borderId="107" applyNumberFormat="0" applyAlignment="0" applyProtection="0"/>
    <xf numFmtId="0" fontId="51" fillId="30" borderId="105" applyNumberFormat="0" applyAlignment="0" applyProtection="0"/>
    <xf numFmtId="0" fontId="34" fillId="8" borderId="102" applyNumberFormat="0" applyAlignment="0" applyProtection="0"/>
    <xf numFmtId="0" fontId="40" fillId="0" borderId="109" applyNumberFormat="0" applyFill="0" applyAlignment="0" applyProtection="0"/>
    <xf numFmtId="0" fontId="34" fillId="8" borderId="102" applyNumberFormat="0" applyProtection="0"/>
    <xf numFmtId="0" fontId="35" fillId="48" borderId="103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8" borderId="107" applyNumberForma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35" fillId="48" borderId="108" applyNumberFormat="0" applyAlignment="0" applyProtection="0"/>
    <xf numFmtId="0" fontId="32" fillId="38" borderId="105" applyNumberFormat="0" applyFont="0" applyAlignment="0" applyProtection="0"/>
    <xf numFmtId="0" fontId="40" fillId="0" borderId="106" applyNumberFormat="0" applyFill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4" fillId="36" borderId="107" applyNumberFormat="0" applyAlignment="0" applyProtection="0"/>
    <xf numFmtId="0" fontId="36" fillId="27" borderId="102" applyNumberFormat="0" applyAlignment="0" applyProtection="0"/>
    <xf numFmtId="0" fontId="35" fillId="27" borderId="103" applyNumberFormat="0" applyAlignment="0" applyProtection="0"/>
    <xf numFmtId="0" fontId="34" fillId="36" borderId="107" applyNumberFormat="0" applyAlignment="0" applyProtection="0"/>
    <xf numFmtId="0" fontId="44" fillId="30" borderId="105" applyNumberForma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6" fillId="27" borderId="102" applyNumberFormat="0" applyAlignment="0" applyProtection="0"/>
    <xf numFmtId="0" fontId="45" fillId="22" borderId="105" applyNumberFormat="0" applyAlignment="0" applyProtection="0"/>
    <xf numFmtId="0" fontId="36" fillId="48" borderId="102" applyNumberFormat="0" applyAlignment="0" applyProtection="0"/>
    <xf numFmtId="0" fontId="24" fillId="22" borderId="102" applyNumberFormat="0" applyAlignment="0" applyProtection="0"/>
    <xf numFmtId="0" fontId="34" fillId="8" borderId="107" applyNumberFormat="0" applyAlignment="0" applyProtection="0"/>
    <xf numFmtId="0" fontId="51" fillId="22" borderId="105" applyNumberFormat="0" applyAlignment="0" applyProtection="0"/>
    <xf numFmtId="0" fontId="20" fillId="30" borderId="105" applyNumberFormat="0" applyAlignment="0" applyProtection="0"/>
    <xf numFmtId="0" fontId="35" fillId="48" borderId="108" applyNumberFormat="0" applyAlignment="0" applyProtection="0"/>
    <xf numFmtId="0" fontId="20" fillId="30" borderId="105" applyNumberFormat="0" applyAlignmen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35" fillId="48" borderId="103" applyNumberFormat="0" applyAlignment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35" fillId="48" borderId="103" applyNumberFormat="0" applyAlignment="0" applyProtection="0"/>
    <xf numFmtId="0" fontId="36" fillId="48" borderId="107" applyNumberFormat="0" applyAlignment="0" applyProtection="0"/>
    <xf numFmtId="0" fontId="20" fillId="30" borderId="105" applyNumberFormat="0" applyAlignment="0" applyProtection="0"/>
    <xf numFmtId="0" fontId="51" fillId="30" borderId="111" applyNumberFormat="0" applyAlignment="0" applyProtection="0"/>
    <xf numFmtId="0" fontId="36" fillId="27" borderId="102" applyNumberFormat="0" applyProtection="0"/>
    <xf numFmtId="0" fontId="36" fillId="48" borderId="102" applyNumberFormat="0" applyAlignment="0" applyProtection="0"/>
    <xf numFmtId="0" fontId="51" fillId="30" borderId="111" applyNumberFormat="0" applyAlignment="0" applyProtection="0"/>
    <xf numFmtId="0" fontId="40" fillId="0" borderId="104" applyNumberFormat="0" applyFill="0" applyAlignment="0" applyProtection="0"/>
    <xf numFmtId="0" fontId="32" fillId="38" borderId="105" applyNumberFormat="0" applyFont="0" applyAlignment="0" applyProtection="0"/>
    <xf numFmtId="0" fontId="20" fillId="30" borderId="105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36" fillId="48" borderId="102" applyNumberFormat="0" applyAlignment="0" applyProtection="0"/>
    <xf numFmtId="0" fontId="40" fillId="0" borderId="104" applyNumberFormat="0" applyFill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6" fillId="27" borderId="107" applyNumberFormat="0" applyProtection="0"/>
    <xf numFmtId="0" fontId="35" fillId="48" borderId="103" applyNumberFormat="0" applyAlignment="0" applyProtection="0"/>
    <xf numFmtId="0" fontId="35" fillId="27" borderId="103" applyNumberFormat="0" applyAlignment="0" applyProtection="0"/>
    <xf numFmtId="0" fontId="36" fillId="27" borderId="102" applyNumberFormat="0" applyProtection="0"/>
    <xf numFmtId="0" fontId="34" fillId="43" borderId="107" applyNumberFormat="0" applyAlignment="0" applyProtection="0"/>
    <xf numFmtId="0" fontId="51" fillId="22" borderId="105" applyNumberFormat="0" applyAlignment="0" applyProtection="0"/>
    <xf numFmtId="0" fontId="34" fillId="43" borderId="102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2" fillId="38" borderId="105" applyNumberFormat="0" applyFon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27" borderId="103" applyNumberFormat="0" applyProtection="0"/>
    <xf numFmtId="0" fontId="35" fillId="27" borderId="108" applyNumberFormat="0" applyAlignment="0" applyProtection="0"/>
    <xf numFmtId="0" fontId="34" fillId="43" borderId="102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36" fillId="48" borderId="102" applyNumberFormat="0" applyAlignment="0" applyProtection="0"/>
    <xf numFmtId="0" fontId="36" fillId="27" borderId="107" applyNumberFormat="0" applyAlignment="0" applyProtection="0"/>
    <xf numFmtId="0" fontId="32" fillId="38" borderId="105" applyNumberFormat="0" applyFont="0" applyAlignment="0" applyProtection="0"/>
    <xf numFmtId="0" fontId="32" fillId="38" borderId="105" applyNumberFormat="0" applyFont="0" applyAlignment="0" applyProtection="0"/>
    <xf numFmtId="0" fontId="35" fillId="48" borderId="108" applyNumberFormat="0" applyAlignment="0" applyProtection="0"/>
    <xf numFmtId="0" fontId="34" fillId="43" borderId="102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32" fillId="38" borderId="105" applyNumberFormat="0" applyFont="0" applyAlignment="0" applyProtection="0"/>
    <xf numFmtId="0" fontId="32" fillId="38" borderId="111" applyNumberFormat="0" applyFont="0" applyAlignment="0" applyProtection="0"/>
    <xf numFmtId="0" fontId="51" fillId="30" borderId="105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3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34" fillId="36" borderId="102" applyNumberFormat="0" applyAlignment="0" applyProtection="0"/>
    <xf numFmtId="0" fontId="36" fillId="27" borderId="102" applyNumberFormat="0" applyAlignment="0" applyProtection="0"/>
    <xf numFmtId="0" fontId="51" fillId="30" borderId="105" applyNumberFormat="0" applyAlignment="0" applyProtection="0"/>
    <xf numFmtId="0" fontId="35" fillId="48" borderId="108" applyNumberFormat="0" applyAlignment="0" applyProtection="0"/>
    <xf numFmtId="0" fontId="35" fillId="27" borderId="103" applyNumberFormat="0" applyProtection="0"/>
    <xf numFmtId="0" fontId="36" fillId="48" borderId="102" applyNumberFormat="0" applyAlignment="0" applyProtection="0"/>
    <xf numFmtId="0" fontId="36" fillId="27" borderId="107" applyNumberFormat="0" applyProtection="0"/>
    <xf numFmtId="0" fontId="35" fillId="48" borderId="108" applyNumberFormat="0" applyAlignment="0" applyProtection="0"/>
    <xf numFmtId="0" fontId="32" fillId="38" borderId="105" applyNumberFormat="0" applyFon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20" fillId="30" borderId="105" applyNumberFormat="0" applyAlignment="0" applyProtection="0"/>
    <xf numFmtId="0" fontId="36" fillId="27" borderId="107" applyNumberFormat="0" applyProtection="0"/>
    <xf numFmtId="0" fontId="36" fillId="48" borderId="102" applyNumberFormat="0" applyAlignment="0" applyProtection="0"/>
    <xf numFmtId="0" fontId="34" fillId="8" borderId="107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4" fillId="8" borderId="102" applyNumberFormat="0" applyAlignment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6" fillId="48" borderId="102" applyNumberFormat="0" applyAlignment="0" applyProtection="0"/>
    <xf numFmtId="0" fontId="34" fillId="8" borderId="102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20" fillId="30" borderId="105" applyNumberFormat="0" applyAlignment="0" applyProtection="0"/>
    <xf numFmtId="0" fontId="36" fillId="27" borderId="102" applyNumberFormat="0" applyAlignment="0" applyProtection="0"/>
    <xf numFmtId="0" fontId="34" fillId="8" borderId="107" applyNumberFormat="0" applyProtection="0"/>
    <xf numFmtId="0" fontId="36" fillId="48" borderId="107" applyNumberFormat="0" applyAlignment="0" applyProtection="0"/>
    <xf numFmtId="0" fontId="35" fillId="48" borderId="103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2" fillId="38" borderId="105" applyNumberFormat="0" applyFont="0" applyAlignment="0" applyProtection="0"/>
    <xf numFmtId="0" fontId="51" fillId="30" borderId="105" applyNumberFormat="0" applyAlignment="0" applyProtection="0"/>
    <xf numFmtId="0" fontId="36" fillId="27" borderId="102" applyNumberFormat="0" applyAlignment="0" applyProtection="0"/>
    <xf numFmtId="0" fontId="32" fillId="38" borderId="111" applyNumberFormat="0" applyFont="0" applyAlignment="0" applyProtection="0"/>
    <xf numFmtId="0" fontId="36" fillId="48" borderId="102" applyNumberFormat="0" applyAlignment="0" applyProtection="0"/>
    <xf numFmtId="0" fontId="36" fillId="27" borderId="102" applyNumberFormat="0" applyAlignment="0" applyProtection="0"/>
    <xf numFmtId="0" fontId="32" fillId="38" borderId="111" applyNumberFormat="0" applyFont="0" applyAlignment="0" applyProtection="0"/>
    <xf numFmtId="0" fontId="36" fillId="27" borderId="102" applyNumberFormat="0" applyAlignment="0" applyProtection="0"/>
    <xf numFmtId="0" fontId="35" fillId="27" borderId="103" applyNumberFormat="0" applyAlignment="0" applyProtection="0"/>
    <xf numFmtId="0" fontId="51" fillId="30" borderId="105" applyNumberFormat="0" applyAlignment="0" applyProtection="0"/>
    <xf numFmtId="0" fontId="35" fillId="48" borderId="108" applyNumberFormat="0" applyAlignment="0" applyProtection="0"/>
    <xf numFmtId="0" fontId="34" fillId="8" borderId="102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24" fillId="22" borderId="102" applyNumberFormat="0" applyAlignment="0" applyProtection="0"/>
    <xf numFmtId="0" fontId="34" fillId="36" borderId="107" applyNumberFormat="0" applyAlignment="0" applyProtection="0"/>
    <xf numFmtId="0" fontId="51" fillId="22" borderId="111" applyNumberFormat="0" applyAlignment="0" applyProtection="0"/>
    <xf numFmtId="0" fontId="20" fillId="30" borderId="111" applyNumberFormat="0" applyAlignment="0" applyProtection="0"/>
    <xf numFmtId="0" fontId="35" fillId="27" borderId="103" applyNumberFormat="0" applyAlignment="0" applyProtection="0"/>
    <xf numFmtId="0" fontId="36" fillId="27" borderId="107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6" fillId="48" borderId="102" applyNumberFormat="0" applyAlignment="0" applyProtection="0"/>
    <xf numFmtId="0" fontId="34" fillId="36" borderId="102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2" fillId="38" borderId="105" applyNumberFormat="0" applyFont="0" applyAlignment="0" applyProtection="0"/>
    <xf numFmtId="0" fontId="35" fillId="48" borderId="103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35" fillId="48" borderId="103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6" fillId="27" borderId="107" applyNumberFormat="0" applyProtection="0"/>
    <xf numFmtId="0" fontId="35" fillId="48" borderId="103" applyNumberFormat="0" applyAlignment="0" applyProtection="0"/>
    <xf numFmtId="0" fontId="44" fillId="30" borderId="105" applyNumberForma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5" fillId="27" borderId="103" applyNumberFormat="0" applyAlignment="0" applyProtection="0"/>
    <xf numFmtId="0" fontId="35" fillId="27" borderId="103" applyNumberFormat="0" applyAlignment="0" applyProtection="0"/>
    <xf numFmtId="0" fontId="34" fillId="43" borderId="107" applyNumberFormat="0" applyAlignmen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45" fillId="22" borderId="111" applyNumberFormat="0" applyAlignment="0" applyProtection="0"/>
    <xf numFmtId="0" fontId="20" fillId="30" borderId="111" applyNumberFormat="0" applyAlignment="0" applyProtection="0"/>
    <xf numFmtId="0" fontId="20" fillId="30" borderId="105" applyNumberFormat="0" applyAlignment="0" applyProtection="0"/>
    <xf numFmtId="0" fontId="32" fillId="38" borderId="111" applyNumberFormat="0" applyFont="0" applyAlignment="0" applyProtection="0"/>
    <xf numFmtId="0" fontId="32" fillId="38" borderId="105" applyNumberFormat="0" applyFont="0" applyAlignment="0" applyProtection="0"/>
    <xf numFmtId="0" fontId="34" fillId="8" borderId="102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2" fillId="38" borderId="105" applyNumberFormat="0" applyFon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4" fillId="43" borderId="102" applyNumberForma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4" fillId="8" borderId="102" applyNumberFormat="0" applyProtection="0"/>
    <xf numFmtId="0" fontId="34" fillId="43" borderId="107" applyNumberFormat="0" applyAlignment="0" applyProtection="0"/>
    <xf numFmtId="0" fontId="44" fillId="30" borderId="111" applyNumberFormat="0" applyProtection="0"/>
    <xf numFmtId="0" fontId="34" fillId="8" borderId="102" applyNumberFormat="0" applyAlignment="0" applyProtection="0"/>
    <xf numFmtId="0" fontId="34" fillId="8" borderId="107" applyNumberFormat="0" applyAlignment="0" applyProtection="0"/>
    <xf numFmtId="0" fontId="34" fillId="36" borderId="102" applyNumberFormat="0" applyAlignment="0" applyProtection="0"/>
    <xf numFmtId="0" fontId="36" fillId="27" borderId="102" applyNumberFormat="0" applyProtection="0"/>
    <xf numFmtId="0" fontId="44" fillId="30" borderId="105" applyNumberFormat="0" applyProtection="0"/>
    <xf numFmtId="0" fontId="35" fillId="27" borderId="103" applyNumberForma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36" borderId="102" applyNumberFormat="0" applyAlignment="0" applyProtection="0"/>
    <xf numFmtId="0" fontId="35" fillId="48" borderId="103" applyNumberFormat="0" applyAlignment="0" applyProtection="0"/>
    <xf numFmtId="0" fontId="51" fillId="30" borderId="105" applyNumberFormat="0" applyAlignment="0" applyProtection="0"/>
    <xf numFmtId="0" fontId="51" fillId="22" borderId="105" applyNumberFormat="0" applyAlignment="0" applyProtection="0"/>
    <xf numFmtId="0" fontId="34" fillId="36" borderId="102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51" fillId="22" borderId="105" applyNumberFormat="0" applyAlignment="0" applyProtection="0"/>
    <xf numFmtId="0" fontId="32" fillId="38" borderId="105" applyNumberFormat="0" applyFont="0" applyAlignment="0" applyProtection="0"/>
    <xf numFmtId="0" fontId="24" fillId="22" borderId="102" applyNumberFormat="0" applyAlignment="0" applyProtection="0"/>
    <xf numFmtId="0" fontId="51" fillId="22" borderId="105" applyNumberFormat="0" applyAlignment="0" applyProtection="0"/>
    <xf numFmtId="0" fontId="35" fillId="27" borderId="103" applyNumberFormat="0" applyAlignment="0" applyProtection="0"/>
    <xf numFmtId="0" fontId="35" fillId="27" borderId="103" applyNumberFormat="0" applyProtection="0"/>
    <xf numFmtId="0" fontId="34" fillId="36" borderId="102" applyNumberFormat="0" applyAlignment="0" applyProtection="0"/>
    <xf numFmtId="0" fontId="34" fillId="8" borderId="107" applyNumberFormat="0" applyAlignment="0" applyProtection="0"/>
    <xf numFmtId="0" fontId="34" fillId="8" borderId="102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4" fillId="8" borderId="102" applyNumberFormat="0" applyAlignment="0" applyProtection="0"/>
    <xf numFmtId="0" fontId="35" fillId="27" borderId="103" applyNumberFormat="0" applyAlignment="0" applyProtection="0"/>
    <xf numFmtId="0" fontId="36" fillId="48" borderId="102" applyNumberFormat="0" applyAlignment="0" applyProtection="0"/>
    <xf numFmtId="0" fontId="35" fillId="48" borderId="103" applyNumberFormat="0" applyAlignment="0" applyProtection="0"/>
    <xf numFmtId="0" fontId="51" fillId="30" borderId="105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6" fillId="27" borderId="102" applyNumberFormat="0" applyProtection="0"/>
    <xf numFmtId="0" fontId="34" fillId="8" borderId="102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27" borderId="103" applyNumberFormat="0" applyAlignment="0" applyProtection="0"/>
    <xf numFmtId="0" fontId="35" fillId="27" borderId="108" applyNumberFormat="0" applyAlignment="0" applyProtection="0"/>
    <xf numFmtId="0" fontId="35" fillId="27" borderId="103" applyNumberFormat="0" applyProtection="0"/>
    <xf numFmtId="0" fontId="34" fillId="36" borderId="102" applyNumberFormat="0" applyAlignment="0" applyProtection="0"/>
    <xf numFmtId="0" fontId="35" fillId="27" borderId="108" applyNumberFormat="0" applyProtection="0"/>
    <xf numFmtId="0" fontId="35" fillId="48" borderId="103" applyNumberFormat="0" applyAlignment="0" applyProtection="0"/>
    <xf numFmtId="0" fontId="34" fillId="8" borderId="102" applyNumberFormat="0" applyProtection="0"/>
    <xf numFmtId="0" fontId="34" fillId="8" borderId="102" applyNumberFormat="0" applyAlignmen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34" fillId="8" borderId="102" applyNumberFormat="0" applyAlignment="0" applyProtection="0"/>
    <xf numFmtId="0" fontId="36" fillId="27" borderId="102" applyNumberFormat="0" applyAlignment="0" applyProtection="0"/>
    <xf numFmtId="0" fontId="36" fillId="48" borderId="102" applyNumberFormat="0" applyAlignment="0" applyProtection="0"/>
    <xf numFmtId="0" fontId="35" fillId="48" borderId="108" applyNumberFormat="0" applyAlignment="0" applyProtection="0"/>
    <xf numFmtId="0" fontId="34" fillId="36" borderId="102" applyNumberFormat="0" applyAlignment="0" applyProtection="0"/>
    <xf numFmtId="0" fontId="40" fillId="0" borderId="109" applyNumberFormat="0" applyFill="0" applyAlignment="0" applyProtection="0"/>
    <xf numFmtId="0" fontId="44" fillId="30" borderId="111" applyNumberFormat="0" applyProtection="0"/>
    <xf numFmtId="0" fontId="36" fillId="27" borderId="102" applyNumberFormat="0" applyAlignment="0" applyProtection="0"/>
    <xf numFmtId="0" fontId="35" fillId="27" borderId="108" applyNumberFormat="0" applyProtection="0"/>
    <xf numFmtId="0" fontId="32" fillId="38" borderId="105" applyNumberFormat="0" applyFont="0" applyAlignment="0" applyProtection="0"/>
    <xf numFmtId="0" fontId="20" fillId="30" borderId="111" applyNumberFormat="0" applyAlignment="0" applyProtection="0"/>
    <xf numFmtId="0" fontId="32" fillId="38" borderId="105" applyNumberFormat="0" applyFon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2" fillId="38" borderId="105" applyNumberFormat="0" applyFont="0" applyAlignment="0" applyProtection="0"/>
    <xf numFmtId="0" fontId="34" fillId="36" borderId="102" applyNumberFormat="0" applyAlignment="0" applyProtection="0"/>
    <xf numFmtId="0" fontId="32" fillId="38" borderId="105" applyNumberFormat="0" applyFont="0" applyAlignment="0" applyProtection="0"/>
    <xf numFmtId="0" fontId="40" fillId="0" borderId="106" applyNumberFormat="0" applyFill="0" applyProtection="0"/>
    <xf numFmtId="0" fontId="44" fillId="30" borderId="111" applyNumberFormat="0" applyProtection="0"/>
    <xf numFmtId="0" fontId="35" fillId="48" borderId="103" applyNumberFormat="0" applyAlignment="0" applyProtection="0"/>
    <xf numFmtId="0" fontId="40" fillId="0" borderId="104" applyNumberFormat="0" applyFill="0" applyAlignment="0" applyProtection="0"/>
    <xf numFmtId="0" fontId="51" fillId="30" borderId="111" applyNumberFormat="0" applyAlignment="0" applyProtection="0"/>
    <xf numFmtId="0" fontId="36" fillId="27" borderId="107" applyNumberFormat="0" applyProtection="0"/>
    <xf numFmtId="0" fontId="34" fillId="8" borderId="107" applyNumberForma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51" fillId="22" borderId="111" applyNumberFormat="0" applyAlignment="0" applyProtection="0"/>
    <xf numFmtId="0" fontId="35" fillId="27" borderId="108" applyNumberForma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51" fillId="22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4" fillId="8" borderId="107" applyNumberFormat="0" applyProtection="0"/>
    <xf numFmtId="0" fontId="34" fillId="8" borderId="107" applyNumberForma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5" fillId="27" borderId="108" applyNumberForma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40" fillId="0" borderId="110" applyNumberFormat="0" applyFill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40" fillId="0" borderId="110" applyNumberFormat="0" applyFill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44" fillId="30" borderId="111" applyNumberForma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24" fillId="22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45" fillId="22" borderId="111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34" fillId="43" borderId="107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6" fillId="27" borderId="107" applyNumberForma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40" fillId="0" borderId="110" applyNumberFormat="0" applyFill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40" fillId="0" borderId="110" applyNumberFormat="0" applyFill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44" fillId="30" borderId="111" applyNumberForma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24" fillId="22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45" fillId="22" borderId="111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34" fillId="43" borderId="107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6" fillId="27" borderId="107" applyNumberForma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45" fillId="22" borderId="111" applyNumberFormat="0" applyAlignment="0" applyProtection="0"/>
    <xf numFmtId="0" fontId="24" fillId="22" borderId="107" applyNumberFormat="0" applyAlignment="0" applyProtection="0"/>
    <xf numFmtId="0" fontId="36" fillId="27" borderId="107" applyNumberFormat="0" applyProtection="0"/>
    <xf numFmtId="0" fontId="44" fillId="30" borderId="111" applyNumberForma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45" fillId="22" borderId="111" applyNumberFormat="0" applyAlignment="0" applyProtection="0"/>
    <xf numFmtId="0" fontId="34" fillId="8" borderId="107" applyNumberForma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45" fillId="22" borderId="111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4" fillId="8" borderId="107" applyNumberFormat="0" applyProtection="0"/>
    <xf numFmtId="0" fontId="40" fillId="0" borderId="109" applyNumberFormat="0" applyFill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24" fillId="22" borderId="107" applyNumberFormat="0" applyAlignment="0" applyProtection="0"/>
    <xf numFmtId="0" fontId="35" fillId="27" borderId="108" applyNumberForma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24" fillId="22" borderId="107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4" fillId="8" borderId="107" applyNumberForma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6" fillId="27" borderId="107" applyNumberFormat="0" applyAlignment="0" applyProtection="0"/>
    <xf numFmtId="0" fontId="34" fillId="8" borderId="107" applyNumberForma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5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24" fillId="22" borderId="107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2" fillId="38" borderId="111" applyNumberFormat="0" applyFont="0" applyAlignment="0" applyProtection="0"/>
    <xf numFmtId="0" fontId="40" fillId="0" borderId="110" applyNumberFormat="0" applyFill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6" fillId="27" borderId="107" applyNumberForma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4" fillId="8" borderId="107" applyNumberFormat="0" applyProtection="0"/>
    <xf numFmtId="0" fontId="34" fillId="36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51" fillId="30" borderId="111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40" fillId="0" borderId="110" applyNumberFormat="0" applyFill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45" fillId="22" borderId="111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24" fillId="22" borderId="107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45" fillId="22" borderId="111" applyNumberFormat="0" applyAlignment="0" applyProtection="0"/>
    <xf numFmtId="0" fontId="51" fillId="22" borderId="111" applyNumberFormat="0" applyAlignmen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34" fillId="36" borderId="107" applyNumberFormat="0" applyAlignment="0" applyProtection="0"/>
    <xf numFmtId="0" fontId="51" fillId="30" borderId="111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45" fillId="22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40" fillId="0" borderId="109" applyNumberFormat="0" applyFill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45" fillId="22" borderId="111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27" borderId="107" applyNumberForma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24" fillId="22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45" fillId="22" borderId="111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51" fillId="30" borderId="111" applyNumberFormat="0" applyAlignment="0" applyProtection="0"/>
    <xf numFmtId="0" fontId="44" fillId="30" borderId="111" applyNumberForma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44" fillId="30" borderId="111" applyNumberFormat="0" applyProtection="0"/>
    <xf numFmtId="0" fontId="51" fillId="22" borderId="111" applyNumberFormat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35" fillId="27" borderId="108" applyNumberFormat="0" applyProtection="0"/>
    <xf numFmtId="0" fontId="24" fillId="22" borderId="107" applyNumberFormat="0" applyAlignment="0" applyProtection="0"/>
    <xf numFmtId="0" fontId="34" fillId="43" borderId="107" applyNumberFormat="0" applyAlignment="0" applyProtection="0"/>
    <xf numFmtId="0" fontId="40" fillId="0" borderId="109" applyNumberFormat="0" applyFill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40" fillId="0" borderId="110" applyNumberFormat="0" applyFill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51" fillId="22" borderId="111" applyNumberFormat="0" applyAlignment="0" applyProtection="0"/>
    <xf numFmtId="0" fontId="34" fillId="43" borderId="107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51" fillId="30" borderId="111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40" fillId="0" borderId="110" applyNumberFormat="0" applyFill="0" applyProtection="0"/>
    <xf numFmtId="0" fontId="34" fillId="43" borderId="107" applyNumberFormat="0" applyAlignment="0" applyProtection="0"/>
    <xf numFmtId="0" fontId="40" fillId="0" borderId="110" applyNumberFormat="0" applyFill="0" applyProtection="0"/>
    <xf numFmtId="0" fontId="32" fillId="38" borderId="111" applyNumberFormat="0" applyFon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6" fillId="27" borderId="107" applyNumberForma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6" fillId="27" borderId="107" applyNumberForma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24" fillId="22" borderId="107" applyNumberFormat="0" applyAlignment="0" applyProtection="0"/>
    <xf numFmtId="0" fontId="24" fillId="22" borderId="107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6" fillId="27" borderId="107" applyNumberFormat="0" applyProtection="0"/>
    <xf numFmtId="0" fontId="51" fillId="22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20" fillId="30" borderId="111" applyNumberFormat="0" applyAlignment="0" applyProtection="0"/>
    <xf numFmtId="0" fontId="45" fillId="22" borderId="111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40" fillId="0" borderId="109" applyNumberFormat="0" applyFill="0" applyAlignment="0" applyProtection="0"/>
    <xf numFmtId="0" fontId="40" fillId="0" borderId="109" applyNumberFormat="0" applyFill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40" fillId="0" borderId="110" applyNumberFormat="0" applyFill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51" fillId="30" borderId="111" applyNumberFormat="0" applyAlignment="0" applyProtection="0"/>
    <xf numFmtId="0" fontId="44" fillId="30" borderId="111" applyNumberForma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8" borderId="107" applyNumberForma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4" fillId="36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45" fillId="22" borderId="111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4" fillId="8" borderId="107" applyNumberFormat="0" applyProtection="0"/>
    <xf numFmtId="0" fontId="34" fillId="36" borderId="107" applyNumberFormat="0" applyAlignment="0" applyProtection="0"/>
    <xf numFmtId="0" fontId="24" fillId="22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44" fillId="30" borderId="111" applyNumberForma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5" fillId="27" borderId="108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4" fillId="43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4" fillId="36" borderId="107" applyNumberFormat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44" fillId="30" borderId="111" applyNumberForma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Protection="0"/>
    <xf numFmtId="0" fontId="51" fillId="30" borderId="111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40" fillId="0" borderId="109" applyNumberFormat="0" applyFill="0" applyAlignment="0" applyProtection="0"/>
    <xf numFmtId="0" fontId="35" fillId="27" borderId="108" applyNumberForma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51" fillId="30" borderId="111" applyNumberFormat="0" applyAlignment="0" applyProtection="0"/>
    <xf numFmtId="0" fontId="36" fillId="48" borderId="107" applyNumberFormat="0" applyAlignmen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40" fillId="0" borderId="109" applyNumberFormat="0" applyFill="0" applyAlignment="0" applyProtection="0"/>
    <xf numFmtId="0" fontId="36" fillId="27" borderId="107" applyNumberForma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40" fillId="0" borderId="110" applyNumberFormat="0" applyFill="0" applyProtection="0"/>
    <xf numFmtId="0" fontId="34" fillId="43" borderId="107" applyNumberFormat="0" applyAlignment="0" applyProtection="0"/>
    <xf numFmtId="0" fontId="34" fillId="43" borderId="107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4" fillId="8" borderId="107" applyNumberFormat="0" applyProtection="0"/>
    <xf numFmtId="0" fontId="51" fillId="30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45" fillId="22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40" fillId="0" borderId="110" applyNumberFormat="0" applyFill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34" fillId="8" borderId="107" applyNumberFormat="0" applyAlignment="0" applyProtection="0"/>
    <xf numFmtId="0" fontId="20" fillId="30" borderId="111" applyNumberFormat="0" applyAlignment="0" applyProtection="0"/>
    <xf numFmtId="0" fontId="36" fillId="48" borderId="107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51" fillId="22" borderId="111" applyNumberFormat="0" applyAlignmen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44" fillId="30" borderId="111" applyNumberForma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40" fillId="0" borderId="110" applyNumberFormat="0" applyFill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40" fillId="0" borderId="109" applyNumberFormat="0" applyFill="0" applyAlignmen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34" fillId="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4" fillId="8" borderId="107" applyNumberForma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40" fillId="0" borderId="109" applyNumberFormat="0" applyFill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5" fillId="48" borderId="108" applyNumberFormat="0" applyAlignment="0" applyProtection="0"/>
    <xf numFmtId="0" fontId="51" fillId="30" borderId="111" applyNumberFormat="0" applyAlignment="0" applyProtection="0"/>
    <xf numFmtId="0" fontId="32" fillId="38" borderId="111" applyNumberFormat="0" applyFon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4" fillId="8" borderId="107" applyNumberFormat="0" applyAlignment="0" applyProtection="0"/>
    <xf numFmtId="0" fontId="32" fillId="38" borderId="111" applyNumberFormat="0" applyFont="0" applyAlignment="0" applyProtection="0"/>
    <xf numFmtId="0" fontId="34" fillId="8" borderId="107" applyNumberFormat="0" applyAlignment="0" applyProtection="0"/>
    <xf numFmtId="0" fontId="51" fillId="30" borderId="111" applyNumberFormat="0" applyAlignment="0" applyProtection="0"/>
    <xf numFmtId="0" fontId="40" fillId="0" borderId="110" applyNumberFormat="0" applyFill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51" fillId="22" borderId="111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35" fillId="48" borderId="108" applyNumberFormat="0" applyAlignment="0" applyProtection="0"/>
    <xf numFmtId="0" fontId="20" fillId="30" borderId="111" applyNumberFormat="0" applyAlignment="0" applyProtection="0"/>
    <xf numFmtId="0" fontId="36" fillId="27" borderId="107" applyNumberFormat="0" applyAlignment="0" applyProtection="0"/>
    <xf numFmtId="0" fontId="35" fillId="27" borderId="108" applyNumberFormat="0" applyAlignment="0" applyProtection="0"/>
    <xf numFmtId="0" fontId="34" fillId="36" borderId="107" applyNumberFormat="0" applyAlignment="0" applyProtection="0"/>
    <xf numFmtId="0" fontId="44" fillId="30" borderId="111" applyNumberFormat="0" applyProtection="0"/>
    <xf numFmtId="0" fontId="24" fillId="22" borderId="107" applyNumberFormat="0" applyAlignment="0" applyProtection="0"/>
    <xf numFmtId="0" fontId="35" fillId="48" borderId="108" applyNumberFormat="0" applyAlignment="0" applyProtection="0"/>
    <xf numFmtId="0" fontId="34" fillId="8" borderId="107" applyNumberFormat="0" applyAlignment="0" applyProtection="0"/>
    <xf numFmtId="0" fontId="36" fillId="27" borderId="107" applyNumberFormat="0" applyProtection="0"/>
    <xf numFmtId="0" fontId="35" fillId="27" borderId="108" applyNumberForma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Alignment="0" applyProtection="0"/>
    <xf numFmtId="0" fontId="35" fillId="48" borderId="108" applyNumberFormat="0" applyAlignment="0" applyProtection="0"/>
    <xf numFmtId="0" fontId="24" fillId="22" borderId="107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51" fillId="22" borderId="111" applyNumberFormat="0" applyAlignment="0" applyProtection="0"/>
    <xf numFmtId="0" fontId="36" fillId="48" borderId="107" applyNumberFormat="0" applyAlignment="0" applyProtection="0"/>
    <xf numFmtId="0" fontId="44" fillId="30" borderId="111" applyNumberForma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5" fillId="48" borderId="108" applyNumberFormat="0" applyAlignmen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5" fillId="27" borderId="108" applyNumberFormat="0" applyAlignment="0" applyProtection="0"/>
    <xf numFmtId="0" fontId="36" fillId="27" borderId="107" applyNumberFormat="0" applyProtection="0"/>
    <xf numFmtId="0" fontId="36" fillId="48" borderId="107" applyNumberFormat="0" applyAlignment="0" applyProtection="0"/>
    <xf numFmtId="0" fontId="35" fillId="27" borderId="108" applyNumberFormat="0" applyAlignment="0" applyProtection="0"/>
    <xf numFmtId="0" fontId="32" fillId="38" borderId="111" applyNumberFormat="0" applyFon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24" fillId="22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20" fillId="30" borderId="111" applyNumberFormat="0" applyAlignment="0" applyProtection="0"/>
    <xf numFmtId="0" fontId="32" fillId="38" borderId="111" applyNumberFormat="0" applyFon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20" fillId="30" borderId="111" applyNumberForma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40" fillId="0" borderId="109" applyNumberFormat="0" applyFill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24" fillId="22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43" borderId="107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45" fillId="22" borderId="111" applyNumberFormat="0" applyAlignment="0" applyProtection="0"/>
    <xf numFmtId="0" fontId="34" fillId="36" borderId="107" applyNumberFormat="0" applyAlignment="0" applyProtection="0"/>
    <xf numFmtId="0" fontId="34" fillId="36" borderId="107" applyNumberFormat="0" applyAlignment="0" applyProtection="0"/>
    <xf numFmtId="0" fontId="35" fillId="27" borderId="108" applyNumberFormat="0" applyAlignment="0" applyProtection="0"/>
    <xf numFmtId="0" fontId="35" fillId="27" borderId="108" applyNumberFormat="0" applyAlignment="0" applyProtection="0"/>
    <xf numFmtId="0" fontId="36" fillId="48" borderId="107" applyNumberFormat="0" applyAlignment="0" applyProtection="0"/>
    <xf numFmtId="0" fontId="51" fillId="22" borderId="111" applyNumberFormat="0" applyAlignment="0" applyProtection="0"/>
    <xf numFmtId="0" fontId="36" fillId="27" borderId="107" applyNumberFormat="0" applyAlignment="0" applyProtection="0"/>
    <xf numFmtId="0" fontId="44" fillId="30" borderId="111" applyNumberFormat="0" applyProtection="0"/>
    <xf numFmtId="0" fontId="35" fillId="27" borderId="108" applyNumberFormat="0" applyAlignment="0" applyProtection="0"/>
    <xf numFmtId="0" fontId="34" fillId="43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40" fillId="0" borderId="109" applyNumberFormat="0" applyFill="0" applyAlignment="0" applyProtection="0"/>
    <xf numFmtId="0" fontId="36" fillId="27" borderId="107" applyNumberFormat="0" applyAlignment="0" applyProtection="0"/>
    <xf numFmtId="0" fontId="51" fillId="22" borderId="111" applyNumberFormat="0" applyAlignment="0" applyProtection="0"/>
    <xf numFmtId="0" fontId="40" fillId="0" borderId="109" applyNumberFormat="0" applyFill="0" applyAlignment="0" applyProtection="0"/>
    <xf numFmtId="0" fontId="35" fillId="48" borderId="108" applyNumberFormat="0" applyAlignment="0" applyProtection="0"/>
    <xf numFmtId="0" fontId="44" fillId="30" borderId="111" applyNumberFormat="0" applyProtection="0"/>
    <xf numFmtId="0" fontId="34" fillId="43" borderId="107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2" fillId="38" borderId="111" applyNumberFormat="0" applyFont="0" applyAlignment="0" applyProtection="0"/>
    <xf numFmtId="0" fontId="51" fillId="22" borderId="111" applyNumberFormat="0" applyAlignment="0" applyProtection="0"/>
    <xf numFmtId="0" fontId="36" fillId="27" borderId="107" applyNumberFormat="0" applyProtection="0"/>
    <xf numFmtId="0" fontId="20" fillId="30" borderId="111" applyNumberFormat="0" applyAlignment="0" applyProtection="0"/>
    <xf numFmtId="0" fontId="34" fillId="8" borderId="107" applyNumberFormat="0" applyAlignment="0" applyProtection="0"/>
    <xf numFmtId="0" fontId="34" fillId="36" borderId="107" applyNumberFormat="0" applyAlignment="0" applyProtection="0"/>
    <xf numFmtId="0" fontId="34" fillId="8" borderId="107" applyNumberFormat="0" applyProtection="0"/>
    <xf numFmtId="0" fontId="36" fillId="48" borderId="107" applyNumberFormat="0" applyAlignment="0" applyProtection="0"/>
    <xf numFmtId="0" fontId="35" fillId="48" borderId="108" applyNumberFormat="0" applyAlignment="0" applyProtection="0"/>
    <xf numFmtId="0" fontId="36" fillId="27" borderId="107" applyNumberFormat="0" applyAlignment="0" applyProtection="0"/>
    <xf numFmtId="0" fontId="36" fillId="27" borderId="107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36" borderId="107" applyNumberFormat="0" applyAlignmen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5" fillId="27" borderId="108" applyNumberFormat="0" applyProtection="0"/>
    <xf numFmtId="0" fontId="36" fillId="48" borderId="107" applyNumberFormat="0" applyAlignment="0" applyProtection="0"/>
    <xf numFmtId="0" fontId="34" fillId="8" borderId="107" applyNumberFormat="0" applyProtection="0"/>
    <xf numFmtId="0" fontId="32" fillId="38" borderId="111" applyNumberFormat="0" applyFont="0" applyAlignment="0" applyProtection="0"/>
    <xf numFmtId="0" fontId="34" fillId="36" borderId="107" applyNumberFormat="0" applyAlignment="0" applyProtection="0"/>
    <xf numFmtId="0" fontId="36" fillId="27" borderId="107" applyNumberFormat="0" applyAlignment="0" applyProtection="0"/>
    <xf numFmtId="0" fontId="32" fillId="38" borderId="111" applyNumberFormat="0" applyFont="0" applyAlignment="0" applyProtection="0"/>
    <xf numFmtId="0" fontId="34" fillId="43" borderId="107" applyNumberFormat="0" applyAlignment="0" applyProtection="0"/>
    <xf numFmtId="0" fontId="35" fillId="48" borderId="108" applyNumberFormat="0" applyAlignment="0" applyProtection="0"/>
    <xf numFmtId="0" fontId="35" fillId="48" borderId="108" applyNumberFormat="0" applyAlignment="0" applyProtection="0"/>
    <xf numFmtId="0" fontId="34" fillId="43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40" fillId="0" borderId="109" applyNumberFormat="0" applyFill="0" applyAlignment="0" applyProtection="0"/>
    <xf numFmtId="0" fontId="45" fillId="22" borderId="111" applyNumberFormat="0" applyAlignment="0" applyProtection="0"/>
    <xf numFmtId="0" fontId="45" fillId="22" borderId="111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4" fillId="8" borderId="107" applyNumberFormat="0" applyAlignment="0" applyProtection="0"/>
    <xf numFmtId="0" fontId="35" fillId="27" borderId="108" applyNumberFormat="0" applyAlignment="0" applyProtection="0"/>
    <xf numFmtId="0" fontId="36" fillId="27" borderId="107" applyNumberFormat="0" applyAlignment="0" applyProtection="0"/>
    <xf numFmtId="0" fontId="51" fillId="30" borderId="111" applyNumberFormat="0" applyAlignment="0" applyProtection="0"/>
    <xf numFmtId="0" fontId="20" fillId="30" borderId="111" applyNumberFormat="0" applyAlignment="0" applyProtection="0"/>
    <xf numFmtId="0" fontId="44" fillId="30" borderId="111" applyNumberFormat="0" applyProtection="0"/>
    <xf numFmtId="0" fontId="20" fillId="30" borderId="111" applyNumberFormat="0" applyAlignment="0" applyProtection="0"/>
    <xf numFmtId="0" fontId="34" fillId="36" borderId="107" applyNumberFormat="0" applyAlignment="0" applyProtection="0"/>
    <xf numFmtId="0" fontId="35" fillId="48" borderId="108" applyNumberFormat="0" applyAlignment="0" applyProtection="0"/>
    <xf numFmtId="0" fontId="36" fillId="48" borderId="107" applyNumberFormat="0" applyAlignment="0" applyProtection="0"/>
    <xf numFmtId="0" fontId="32" fillId="38" borderId="111" applyNumberFormat="0" applyFont="0" applyAlignment="0" applyProtection="0"/>
    <xf numFmtId="0" fontId="19" fillId="0" borderId="0"/>
    <xf numFmtId="0" fontId="35" fillId="79" borderId="108" applyNumberFormat="0" applyAlignment="0" applyProtection="0"/>
    <xf numFmtId="0" fontId="36" fillId="79" borderId="107" applyNumberFormat="0" applyAlignment="0" applyProtection="0"/>
    <xf numFmtId="0" fontId="20" fillId="80" borderId="111" applyNumberFormat="0" applyAlignment="0" applyProtection="0"/>
    <xf numFmtId="0" fontId="20" fillId="30" borderId="111" applyNumberFormat="0" applyAlignment="0" applyProtection="0"/>
    <xf numFmtId="0" fontId="20" fillId="80" borderId="111" applyNumberFormat="0" applyAlignment="0" applyProtection="0"/>
    <xf numFmtId="0" fontId="20" fillId="30" borderId="111" applyNumberFormat="0" applyAlignment="0" applyProtection="0"/>
  </cellStyleXfs>
  <cellXfs count="911">
    <xf numFmtId="0" fontId="0" fillId="0" borderId="0" xfId="0"/>
    <xf numFmtId="0" fontId="0" fillId="0" borderId="6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/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/>
    <xf numFmtId="0" fontId="3" fillId="0" borderId="0" xfId="0" applyFont="1" applyBorder="1" applyAlignment="1"/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9" fillId="0" borderId="0" xfId="0" applyFont="1"/>
    <xf numFmtId="0" fontId="8" fillId="0" borderId="7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 indent="2"/>
    </xf>
    <xf numFmtId="14" fontId="1" fillId="0" borderId="3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vertical="top" wrapText="1" indent="4"/>
    </xf>
    <xf numFmtId="0" fontId="1" fillId="0" borderId="7" xfId="0" applyFont="1" applyBorder="1" applyAlignment="1">
      <alignment horizontal="left" wrapText="1" indent="2"/>
    </xf>
    <xf numFmtId="0" fontId="1" fillId="0" borderId="7" xfId="0" applyFont="1" applyBorder="1" applyAlignment="1">
      <alignment horizontal="left" vertical="top" wrapText="1" indent="6"/>
    </xf>
    <xf numFmtId="0" fontId="1" fillId="0" borderId="7" xfId="0" applyFont="1" applyBorder="1" applyAlignment="1">
      <alignment horizontal="left" vertical="top" wrapText="1" indent="8"/>
    </xf>
    <xf numFmtId="0" fontId="1" fillId="0" borderId="7" xfId="0" applyFont="1" applyBorder="1" applyAlignment="1">
      <alignment horizontal="left" wrapText="1" indent="4"/>
    </xf>
    <xf numFmtId="0" fontId="6" fillId="0" borderId="7" xfId="1" applyBorder="1" applyAlignment="1" applyProtection="1">
      <alignment horizontal="left" vertical="top" wrapText="1" indent="4"/>
    </xf>
    <xf numFmtId="0" fontId="1" fillId="0" borderId="7" xfId="0" applyFont="1" applyBorder="1" applyAlignment="1">
      <alignment horizontal="left" wrapText="1" indent="6"/>
    </xf>
    <xf numFmtId="0" fontId="1" fillId="0" borderId="7" xfId="0" applyFont="1" applyBorder="1" applyAlignment="1">
      <alignment wrapText="1"/>
    </xf>
    <xf numFmtId="0" fontId="6" fillId="0" borderId="7" xfId="1" applyBorder="1" applyAlignment="1" applyProtection="1">
      <alignment horizontal="left" vertical="top" wrapText="1" indent="2"/>
    </xf>
    <xf numFmtId="0" fontId="10" fillId="2" borderId="15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/>
    <xf numFmtId="0" fontId="13" fillId="0" borderId="0" xfId="0" applyFont="1" applyAlignment="1"/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11" fillId="0" borderId="0" xfId="0" applyFont="1"/>
    <xf numFmtId="0" fontId="1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17" fillId="0" borderId="16" xfId="1" applyFont="1" applyBorder="1" applyAlignment="1" applyProtection="1">
      <alignment horizontal="left" vertical="center" wrapText="1"/>
    </xf>
    <xf numFmtId="0" fontId="18" fillId="0" borderId="0" xfId="0" applyFont="1" applyBorder="1"/>
    <xf numFmtId="0" fontId="16" fillId="0" borderId="0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31" borderId="0" xfId="0" applyFill="1"/>
    <xf numFmtId="166" fontId="58" fillId="33" borderId="35" xfId="159" applyNumberFormat="1" applyFont="1" applyFill="1" applyBorder="1" applyAlignment="1">
      <alignment horizontal="center" vertical="center" wrapText="1"/>
    </xf>
    <xf numFmtId="166" fontId="58" fillId="31" borderId="35" xfId="159" applyNumberFormat="1" applyFont="1" applyFill="1" applyBorder="1" applyAlignment="1">
      <alignment horizontal="center" vertical="center" wrapText="1"/>
    </xf>
    <xf numFmtId="0" fontId="58" fillId="31" borderId="35" xfId="159" applyFont="1" applyFill="1" applyBorder="1" applyAlignment="1">
      <alignment horizontal="left" vertical="center" wrapText="1" indent="5"/>
    </xf>
    <xf numFmtId="0" fontId="58" fillId="31" borderId="35" xfId="2" applyFont="1" applyFill="1" applyBorder="1" applyAlignment="1">
      <alignment horizontal="left" vertical="center" wrapText="1" indent="1"/>
    </xf>
    <xf numFmtId="0" fontId="58" fillId="31" borderId="35" xfId="2" applyFont="1" applyFill="1" applyBorder="1" applyAlignment="1">
      <alignment vertical="center"/>
    </xf>
    <xf numFmtId="49" fontId="58" fillId="31" borderId="35" xfId="2" applyNumberFormat="1" applyFont="1" applyFill="1" applyBorder="1" applyAlignment="1">
      <alignment horizontal="center" vertical="center"/>
    </xf>
    <xf numFmtId="173" fontId="58" fillId="33" borderId="35" xfId="159" applyNumberFormat="1" applyFont="1" applyFill="1" applyBorder="1" applyAlignment="1">
      <alignment horizontal="right" vertical="center" wrapText="1"/>
    </xf>
    <xf numFmtId="173" fontId="58" fillId="31" borderId="35" xfId="159" applyNumberFormat="1" applyFont="1" applyFill="1" applyBorder="1" applyAlignment="1">
      <alignment horizontal="right" vertical="center" wrapText="1"/>
    </xf>
    <xf numFmtId="49" fontId="66" fillId="33" borderId="35" xfId="159" applyNumberFormat="1" applyFont="1" applyFill="1" applyBorder="1" applyAlignment="1">
      <alignment horizontal="center" vertical="center"/>
    </xf>
    <xf numFmtId="0" fontId="66" fillId="31" borderId="35" xfId="159" applyFont="1" applyFill="1" applyBorder="1" applyAlignment="1">
      <alignment horizontal="center" vertical="center" wrapText="1"/>
    </xf>
    <xf numFmtId="49" fontId="66" fillId="31" borderId="35" xfId="159" applyNumberFormat="1" applyFont="1" applyFill="1" applyBorder="1" applyAlignment="1">
      <alignment horizontal="center" vertical="center"/>
    </xf>
    <xf numFmtId="0" fontId="58" fillId="33" borderId="35" xfId="159" applyFont="1" applyFill="1" applyBorder="1" applyAlignment="1">
      <alignment horizontal="center" vertical="center" wrapText="1"/>
    </xf>
    <xf numFmtId="0" fontId="58" fillId="31" borderId="35" xfId="159" applyFont="1" applyFill="1" applyBorder="1" applyAlignment="1">
      <alignment horizontal="center" vertical="center" wrapText="1"/>
    </xf>
    <xf numFmtId="0" fontId="65" fillId="31" borderId="0" xfId="159" applyFont="1" applyFill="1" applyBorder="1" applyAlignment="1">
      <alignment horizontal="center"/>
    </xf>
    <xf numFmtId="0" fontId="58" fillId="33" borderId="0" xfId="159" applyFont="1" applyFill="1" applyAlignment="1">
      <alignment horizontal="right"/>
    </xf>
    <xf numFmtId="0" fontId="20" fillId="31" borderId="0" xfId="2" applyFill="1"/>
    <xf numFmtId="0" fontId="44" fillId="31" borderId="0" xfId="159" applyFont="1" applyFill="1"/>
    <xf numFmtId="0" fontId="55" fillId="31" borderId="0" xfId="149" applyFont="1" applyFill="1" applyBorder="1" applyAlignment="1">
      <alignment horizontal="center" vertical="top"/>
    </xf>
    <xf numFmtId="0" fontId="57" fillId="33" borderId="0" xfId="158" applyFont="1" applyFill="1" applyAlignment="1">
      <alignment horizontal="right"/>
    </xf>
    <xf numFmtId="0" fontId="44" fillId="33" borderId="0" xfId="158" applyFont="1" applyFill="1" applyAlignment="1">
      <alignment horizontal="right" vertical="center"/>
    </xf>
    <xf numFmtId="0" fontId="44" fillId="31" borderId="0" xfId="2" applyFont="1" applyFill="1"/>
    <xf numFmtId="0" fontId="0" fillId="0" borderId="0" xfId="0"/>
    <xf numFmtId="0" fontId="58" fillId="31" borderId="35" xfId="159" applyFont="1" applyFill="1" applyBorder="1" applyAlignment="1">
      <alignment horizontal="left" vertical="center" wrapText="1" indent="3"/>
    </xf>
    <xf numFmtId="49" fontId="14" fillId="0" borderId="16" xfId="0" applyNumberFormat="1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173" fontId="14" fillId="0" borderId="16" xfId="0" applyNumberFormat="1" applyFont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0" applyNumberFormat="1" applyFont="1" applyBorder="1" applyAlignment="1">
      <alignment vertical="center" wrapText="1"/>
    </xf>
    <xf numFmtId="173" fontId="14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49" fontId="59" fillId="32" borderId="35" xfId="369" applyNumberFormat="1" applyFont="1" applyFill="1" applyBorder="1" applyAlignment="1">
      <alignment horizontal="center"/>
    </xf>
    <xf numFmtId="0" fontId="44" fillId="0" borderId="35" xfId="2" applyFont="1" applyFill="1" applyBorder="1" applyAlignment="1">
      <alignment horizontal="right"/>
    </xf>
    <xf numFmtId="0" fontId="0" fillId="32" borderId="0" xfId="0" applyFill="1"/>
    <xf numFmtId="0" fontId="44" fillId="32" borderId="35" xfId="2" applyFont="1" applyFill="1" applyBorder="1" applyAlignment="1">
      <alignment horizontal="right"/>
    </xf>
    <xf numFmtId="173" fontId="1" fillId="0" borderId="16" xfId="0" applyNumberFormat="1" applyFont="1" applyBorder="1" applyAlignment="1">
      <alignment horizontal="right" wrapText="1"/>
    </xf>
    <xf numFmtId="0" fontId="44" fillId="32" borderId="35" xfId="369" applyFont="1" applyFill="1" applyBorder="1" applyAlignment="1">
      <alignment horizontal="center"/>
    </xf>
    <xf numFmtId="173" fontId="59" fillId="0" borderId="35" xfId="369" applyNumberFormat="1" applyFont="1" applyFill="1" applyBorder="1" applyAlignment="1">
      <alignment horizontal="right" wrapText="1"/>
    </xf>
    <xf numFmtId="0" fontId="44" fillId="0" borderId="35" xfId="369" applyFont="1" applyFill="1" applyBorder="1" applyAlignment="1">
      <alignment horizontal="right" wrapText="1"/>
    </xf>
    <xf numFmtId="173" fontId="59" fillId="0" borderId="35" xfId="2" applyNumberFormat="1" applyFont="1" applyFill="1" applyBorder="1" applyAlignment="1">
      <alignment horizontal="right"/>
    </xf>
    <xf numFmtId="173" fontId="44" fillId="0" borderId="35" xfId="369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wrapText="1"/>
    </xf>
    <xf numFmtId="0" fontId="44" fillId="32" borderId="35" xfId="158" applyFont="1" applyFill="1" applyBorder="1" applyAlignment="1">
      <alignment horizontal="left" wrapText="1"/>
    </xf>
    <xf numFmtId="0" fontId="44" fillId="64" borderId="35" xfId="2" applyFont="1" applyFill="1" applyBorder="1" applyAlignment="1">
      <alignment horizontal="right"/>
    </xf>
    <xf numFmtId="49" fontId="44" fillId="0" borderId="35" xfId="2" applyNumberFormat="1" applyFont="1" applyFill="1" applyBorder="1" applyAlignment="1">
      <alignment horizontal="left" wrapText="1"/>
    </xf>
    <xf numFmtId="0" fontId="59" fillId="0" borderId="35" xfId="369" applyFont="1" applyFill="1" applyBorder="1" applyAlignment="1">
      <alignment horizontal="left" wrapText="1"/>
    </xf>
    <xf numFmtId="0" fontId="44" fillId="32" borderId="35" xfId="2" applyFont="1" applyFill="1" applyBorder="1" applyAlignment="1">
      <alignment horizontal="center"/>
    </xf>
    <xf numFmtId="49" fontId="77" fillId="32" borderId="35" xfId="370" applyNumberFormat="1" applyFont="1" applyFill="1" applyBorder="1" applyAlignment="1">
      <alignment horizontal="center"/>
    </xf>
    <xf numFmtId="0" fontId="59" fillId="32" borderId="35" xfId="369" applyFont="1" applyFill="1" applyBorder="1" applyAlignment="1">
      <alignment horizontal="center" wrapText="1"/>
    </xf>
    <xf numFmtId="0" fontId="79" fillId="0" borderId="16" xfId="0" applyFont="1" applyBorder="1" applyAlignment="1">
      <alignment horizontal="center" vertical="center" wrapText="1"/>
    </xf>
    <xf numFmtId="49" fontId="44" fillId="32" borderId="35" xfId="369" applyNumberFormat="1" applyFont="1" applyFill="1" applyBorder="1" applyAlignment="1">
      <alignment horizontal="center"/>
    </xf>
    <xf numFmtId="0" fontId="59" fillId="0" borderId="35" xfId="369" applyFont="1" applyFill="1" applyBorder="1" applyAlignment="1">
      <alignment horizontal="right" wrapText="1"/>
    </xf>
    <xf numFmtId="173" fontId="44" fillId="0" borderId="35" xfId="2" applyNumberFormat="1" applyFont="1" applyFill="1" applyBorder="1" applyAlignment="1">
      <alignment horizontal="right"/>
    </xf>
    <xf numFmtId="173" fontId="44" fillId="0" borderId="35" xfId="2" applyNumberFormat="1" applyFont="1" applyFill="1" applyBorder="1" applyAlignment="1">
      <alignment horizontal="right" wrapText="1"/>
    </xf>
    <xf numFmtId="0" fontId="44" fillId="0" borderId="35" xfId="158" applyFont="1" applyFill="1" applyBorder="1" applyAlignment="1">
      <alignment horizontal="left" wrapText="1"/>
    </xf>
    <xf numFmtId="0" fontId="0" fillId="32" borderId="0" xfId="0" applyFont="1" applyFill="1"/>
    <xf numFmtId="173" fontId="14" fillId="0" borderId="16" xfId="0" applyNumberFormat="1" applyFont="1" applyBorder="1" applyAlignment="1">
      <alignment horizontal="right" wrapText="1"/>
    </xf>
    <xf numFmtId="0" fontId="59" fillId="0" borderId="35" xfId="158" applyFont="1" applyFill="1" applyBorder="1" applyAlignment="1">
      <alignment horizontal="left" wrapText="1"/>
    </xf>
    <xf numFmtId="174" fontId="44" fillId="0" borderId="35" xfId="2" applyNumberFormat="1" applyFont="1" applyFill="1" applyBorder="1" applyAlignment="1">
      <alignment horizontal="right"/>
    </xf>
    <xf numFmtId="0" fontId="59" fillId="32" borderId="35" xfId="369" applyFont="1" applyFill="1" applyBorder="1" applyAlignment="1">
      <alignment horizontal="center"/>
    </xf>
    <xf numFmtId="3" fontId="44" fillId="64" borderId="35" xfId="458" applyNumberFormat="1" applyFont="1" applyFill="1" applyBorder="1" applyAlignment="1">
      <alignment wrapText="1"/>
    </xf>
    <xf numFmtId="173" fontId="59" fillId="0" borderId="35" xfId="2" applyNumberFormat="1" applyFont="1" applyFill="1" applyBorder="1" applyAlignment="1">
      <alignment horizontal="right" wrapText="1"/>
    </xf>
    <xf numFmtId="49" fontId="44" fillId="32" borderId="35" xfId="2" applyNumberFormat="1" applyFont="1" applyFill="1" applyBorder="1" applyAlignment="1">
      <alignment horizontal="left" wrapText="1"/>
    </xf>
    <xf numFmtId="1" fontId="79" fillId="0" borderId="16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0" xfId="0"/>
    <xf numFmtId="173" fontId="58" fillId="61" borderId="35" xfId="2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9" fillId="0" borderId="35" xfId="2" applyFont="1" applyFill="1" applyBorder="1" applyAlignment="1">
      <alignment horizontal="right"/>
    </xf>
    <xf numFmtId="2" fontId="1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58" fillId="0" borderId="17" xfId="369" applyFont="1" applyFill="1" applyBorder="1" applyAlignment="1">
      <alignment horizontal="center" vertical="center" wrapText="1"/>
    </xf>
    <xf numFmtId="0" fontId="58" fillId="0" borderId="19" xfId="369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32" borderId="16" xfId="0" applyFont="1" applyFill="1" applyBorder="1" applyAlignment="1">
      <alignment horizontal="center" vertical="center" wrapText="1"/>
    </xf>
    <xf numFmtId="0" fontId="44" fillId="32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49" fontId="44" fillId="32" borderId="35" xfId="370" applyNumberFormat="1" applyFont="1" applyFill="1" applyBorder="1" applyAlignment="1">
      <alignment horizontal="center"/>
    </xf>
    <xf numFmtId="173" fontId="59" fillId="0" borderId="35" xfId="369" applyNumberFormat="1" applyFont="1" applyFill="1" applyBorder="1" applyAlignment="1">
      <alignment horizontal="right" vertical="center" wrapText="1"/>
    </xf>
    <xf numFmtId="173" fontId="14" fillId="0" borderId="16" xfId="0" applyNumberFormat="1" applyFont="1" applyBorder="1" applyAlignment="1">
      <alignment horizontal="right" vertical="center" wrapText="1"/>
    </xf>
    <xf numFmtId="173" fontId="1" fillId="0" borderId="16" xfId="0" applyNumberFormat="1" applyFont="1" applyBorder="1" applyAlignment="1">
      <alignment horizontal="right" vertical="center" wrapText="1"/>
    </xf>
    <xf numFmtId="173" fontId="44" fillId="0" borderId="35" xfId="369" applyNumberFormat="1" applyFont="1" applyFill="1" applyBorder="1" applyAlignment="1">
      <alignment horizontal="right" vertical="center" wrapText="1"/>
    </xf>
    <xf numFmtId="173" fontId="44" fillId="0" borderId="16" xfId="0" applyNumberFormat="1" applyFont="1" applyBorder="1" applyAlignment="1">
      <alignment horizontal="right" vertical="center" wrapText="1"/>
    </xf>
    <xf numFmtId="173" fontId="44" fillId="0" borderId="35" xfId="2" applyNumberFormat="1" applyFont="1" applyFill="1" applyBorder="1" applyAlignment="1">
      <alignment horizontal="right" vertical="center" wrapText="1"/>
    </xf>
    <xf numFmtId="173" fontId="59" fillId="0" borderId="35" xfId="2" applyNumberFormat="1" applyFont="1" applyFill="1" applyBorder="1" applyAlignment="1">
      <alignment horizontal="right" vertical="center" wrapText="1"/>
    </xf>
    <xf numFmtId="173" fontId="44" fillId="0" borderId="35" xfId="2" applyNumberFormat="1" applyFont="1" applyFill="1" applyBorder="1" applyAlignment="1">
      <alignment horizontal="right" vertical="center"/>
    </xf>
    <xf numFmtId="174" fontId="44" fillId="0" borderId="35" xfId="2" applyNumberFormat="1" applyFont="1" applyFill="1" applyBorder="1" applyAlignment="1">
      <alignment horizontal="right" vertical="center"/>
    </xf>
    <xf numFmtId="173" fontId="59" fillId="0" borderId="35" xfId="369" applyNumberFormat="1" applyFont="1" applyFill="1" applyBorder="1" applyAlignment="1">
      <alignment vertical="center" wrapText="1"/>
    </xf>
    <xf numFmtId="173" fontId="59" fillId="0" borderId="16" xfId="0" applyNumberFormat="1" applyFont="1" applyBorder="1" applyAlignment="1">
      <alignment vertical="center" wrapText="1"/>
    </xf>
    <xf numFmtId="173" fontId="44" fillId="0" borderId="35" xfId="369" applyNumberFormat="1" applyFont="1" applyFill="1" applyBorder="1" applyAlignment="1">
      <alignment vertical="center" wrapText="1"/>
    </xf>
    <xf numFmtId="173" fontId="44" fillId="0" borderId="16" xfId="0" applyNumberFormat="1" applyFont="1" applyBorder="1" applyAlignment="1">
      <alignment vertical="center" wrapText="1"/>
    </xf>
    <xf numFmtId="173" fontId="44" fillId="0" borderId="35" xfId="2" applyNumberFormat="1" applyFont="1" applyFill="1" applyBorder="1" applyAlignment="1">
      <alignment vertical="center" wrapText="1"/>
    </xf>
    <xf numFmtId="173" fontId="44" fillId="32" borderId="16" xfId="0" applyNumberFormat="1" applyFont="1" applyFill="1" applyBorder="1" applyAlignment="1">
      <alignment vertical="center" wrapText="1"/>
    </xf>
    <xf numFmtId="173" fontId="59" fillId="0" borderId="35" xfId="2" applyNumberFormat="1" applyFont="1" applyFill="1" applyBorder="1" applyAlignment="1">
      <alignment vertical="center" wrapText="1"/>
    </xf>
    <xf numFmtId="174" fontId="44" fillId="65" borderId="35" xfId="2" applyNumberFormat="1" applyFont="1" applyFill="1" applyBorder="1" applyAlignment="1">
      <alignment vertical="center" wrapText="1"/>
    </xf>
    <xf numFmtId="173" fontId="44" fillId="32" borderId="35" xfId="369" applyNumberFormat="1" applyFont="1" applyFill="1" applyBorder="1" applyAlignment="1">
      <alignment vertical="center" wrapText="1"/>
    </xf>
    <xf numFmtId="173" fontId="1" fillId="32" borderId="16" xfId="0" applyNumberFormat="1" applyFont="1" applyFill="1" applyBorder="1" applyAlignment="1">
      <alignment vertical="center" wrapText="1"/>
    </xf>
    <xf numFmtId="173" fontId="44" fillId="0" borderId="35" xfId="2" applyNumberFormat="1" applyFont="1" applyFill="1" applyBorder="1" applyAlignment="1">
      <alignment vertical="center"/>
    </xf>
    <xf numFmtId="173" fontId="44" fillId="32" borderId="35" xfId="2" applyNumberFormat="1" applyFont="1" applyFill="1" applyBorder="1" applyAlignment="1">
      <alignment vertical="center" wrapText="1"/>
    </xf>
    <xf numFmtId="173" fontId="44" fillId="32" borderId="35" xfId="2" applyNumberFormat="1" applyFont="1" applyFill="1" applyBorder="1" applyAlignment="1">
      <alignment vertical="center"/>
    </xf>
    <xf numFmtId="173" fontId="59" fillId="0" borderId="35" xfId="2" applyNumberFormat="1" applyFont="1" applyFill="1" applyBorder="1" applyAlignment="1">
      <alignment vertical="center"/>
    </xf>
    <xf numFmtId="173" fontId="59" fillId="32" borderId="35" xfId="2" applyNumberFormat="1" applyFont="1" applyFill="1" applyBorder="1" applyAlignment="1">
      <alignment vertical="center" wrapText="1"/>
    </xf>
    <xf numFmtId="0" fontId="59" fillId="32" borderId="35" xfId="369" applyFont="1" applyFill="1" applyBorder="1" applyAlignment="1">
      <alignment horizontal="center" vertical="center" wrapText="1"/>
    </xf>
    <xf numFmtId="0" fontId="59" fillId="0" borderId="35" xfId="369" applyFont="1" applyFill="1" applyBorder="1" applyAlignment="1">
      <alignment horizontal="left" vertical="center" wrapText="1"/>
    </xf>
    <xf numFmtId="0" fontId="59" fillId="0" borderId="35" xfId="369" applyFont="1" applyFill="1" applyBorder="1" applyAlignment="1">
      <alignment horizontal="right" vertical="center" wrapText="1"/>
    </xf>
    <xf numFmtId="0" fontId="59" fillId="32" borderId="35" xfId="369" applyFont="1" applyFill="1" applyBorder="1" applyAlignment="1">
      <alignment horizontal="center" vertical="center"/>
    </xf>
    <xf numFmtId="0" fontId="59" fillId="0" borderId="35" xfId="158" applyFont="1" applyFill="1" applyBorder="1" applyAlignment="1">
      <alignment horizontal="left" vertical="center" wrapText="1"/>
    </xf>
    <xf numFmtId="49" fontId="59" fillId="32" borderId="35" xfId="369" applyNumberFormat="1" applyFont="1" applyFill="1" applyBorder="1" applyAlignment="1">
      <alignment horizontal="center" vertical="center"/>
    </xf>
    <xf numFmtId="0" fontId="44" fillId="0" borderId="35" xfId="369" applyFont="1" applyFill="1" applyBorder="1" applyAlignment="1">
      <alignment horizontal="right" vertical="center" wrapText="1"/>
    </xf>
    <xf numFmtId="0" fontId="44" fillId="32" borderId="35" xfId="369" applyFont="1" applyFill="1" applyBorder="1" applyAlignment="1">
      <alignment horizontal="center" vertical="center"/>
    </xf>
    <xf numFmtId="0" fontId="44" fillId="0" borderId="35" xfId="2" applyFont="1" applyFill="1" applyBorder="1" applyAlignment="1">
      <alignment horizontal="right" vertical="center"/>
    </xf>
    <xf numFmtId="49" fontId="44" fillId="32" borderId="35" xfId="369" applyNumberFormat="1" applyFont="1" applyFill="1" applyBorder="1" applyAlignment="1">
      <alignment horizontal="center" vertical="center"/>
    </xf>
    <xf numFmtId="0" fontId="44" fillId="32" borderId="35" xfId="2" applyFont="1" applyFill="1" applyBorder="1" applyAlignment="1">
      <alignment horizontal="center" vertical="center"/>
    </xf>
    <xf numFmtId="0" fontId="44" fillId="32" borderId="35" xfId="2" applyFont="1" applyFill="1" applyBorder="1" applyAlignment="1">
      <alignment horizontal="right" vertical="center"/>
    </xf>
    <xf numFmtId="49" fontId="77" fillId="32" borderId="35" xfId="370" applyNumberFormat="1" applyFont="1" applyFill="1" applyBorder="1" applyAlignment="1">
      <alignment horizontal="center" vertical="center"/>
    </xf>
    <xf numFmtId="3" fontId="44" fillId="64" borderId="35" xfId="458" applyNumberFormat="1" applyFont="1" applyFill="1" applyBorder="1" applyAlignment="1">
      <alignment vertical="center" wrapText="1"/>
    </xf>
    <xf numFmtId="0" fontId="44" fillId="64" borderId="35" xfId="2" applyFont="1" applyFill="1" applyBorder="1" applyAlignment="1">
      <alignment horizontal="right" vertical="center"/>
    </xf>
    <xf numFmtId="0" fontId="44" fillId="0" borderId="35" xfId="369" applyFont="1" applyFill="1" applyBorder="1" applyAlignment="1">
      <alignment vertical="center" wrapText="1"/>
    </xf>
    <xf numFmtId="1" fontId="1" fillId="0" borderId="16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1" fontId="79" fillId="0" borderId="16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right" wrapText="1"/>
    </xf>
    <xf numFmtId="173" fontId="1" fillId="0" borderId="0" xfId="0" applyNumberFormat="1" applyFont="1" applyAlignment="1">
      <alignment horizontal="right"/>
    </xf>
    <xf numFmtId="3" fontId="14" fillId="0" borderId="16" xfId="0" applyNumberFormat="1" applyFont="1" applyBorder="1" applyAlignment="1">
      <alignment horizontal="right" wrapText="1"/>
    </xf>
    <xf numFmtId="174" fontId="44" fillId="32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59" fillId="32" borderId="35" xfId="369" applyFont="1" applyFill="1" applyBorder="1" applyAlignment="1">
      <alignment vertical="center" wrapText="1"/>
    </xf>
    <xf numFmtId="0" fontId="59" fillId="0" borderId="35" xfId="369" applyFont="1" applyFill="1" applyBorder="1" applyAlignment="1">
      <alignment vertical="center" wrapText="1"/>
    </xf>
    <xf numFmtId="0" fontId="59" fillId="32" borderId="35" xfId="369" applyFont="1" applyFill="1" applyBorder="1" applyAlignment="1">
      <alignment vertical="center"/>
    </xf>
    <xf numFmtId="0" fontId="59" fillId="0" borderId="35" xfId="158" applyFont="1" applyFill="1" applyBorder="1" applyAlignment="1">
      <alignment vertical="center" wrapText="1"/>
    </xf>
    <xf numFmtId="49" fontId="59" fillId="32" borderId="35" xfId="369" applyNumberFormat="1" applyFont="1" applyFill="1" applyBorder="1" applyAlignment="1">
      <alignment vertical="center"/>
    </xf>
    <xf numFmtId="0" fontId="44" fillId="32" borderId="35" xfId="369" applyFont="1" applyFill="1" applyBorder="1" applyAlignment="1">
      <alignment vertical="center"/>
    </xf>
    <xf numFmtId="0" fontId="44" fillId="0" borderId="35" xfId="158" applyFont="1" applyFill="1" applyBorder="1" applyAlignment="1">
      <alignment vertical="center" wrapText="1"/>
    </xf>
    <xf numFmtId="0" fontId="44" fillId="0" borderId="35" xfId="2" applyFont="1" applyFill="1" applyBorder="1" applyAlignment="1">
      <alignment vertical="center"/>
    </xf>
    <xf numFmtId="49" fontId="44" fillId="32" borderId="35" xfId="369" applyNumberFormat="1" applyFont="1" applyFill="1" applyBorder="1" applyAlignment="1">
      <alignment vertical="center"/>
    </xf>
    <xf numFmtId="0" fontId="44" fillId="32" borderId="35" xfId="158" applyFont="1" applyFill="1" applyBorder="1" applyAlignment="1">
      <alignment vertical="center" wrapText="1"/>
    </xf>
    <xf numFmtId="0" fontId="44" fillId="32" borderId="35" xfId="2" applyFont="1" applyFill="1" applyBorder="1" applyAlignment="1">
      <alignment vertical="center"/>
    </xf>
    <xf numFmtId="49" fontId="44" fillId="0" borderId="35" xfId="2" applyNumberFormat="1" applyFont="1" applyFill="1" applyBorder="1" applyAlignment="1">
      <alignment vertical="center" wrapText="1"/>
    </xf>
    <xf numFmtId="49" fontId="44" fillId="32" borderId="35" xfId="2" applyNumberFormat="1" applyFont="1" applyFill="1" applyBorder="1" applyAlignment="1">
      <alignment vertical="center" wrapText="1"/>
    </xf>
    <xf numFmtId="49" fontId="77" fillId="32" borderId="35" xfId="370" applyNumberFormat="1" applyFont="1" applyFill="1" applyBorder="1" applyAlignment="1">
      <alignment vertical="center"/>
    </xf>
    <xf numFmtId="0" fontId="44" fillId="64" borderId="35" xfId="2" applyFont="1" applyFill="1" applyBorder="1" applyAlignment="1">
      <alignment vertical="center"/>
    </xf>
    <xf numFmtId="0" fontId="59" fillId="32" borderId="35" xfId="369" applyFont="1" applyFill="1" applyBorder="1" applyAlignment="1">
      <alignment horizontal="right" vertical="center" wrapText="1"/>
    </xf>
    <xf numFmtId="0" fontId="59" fillId="32" borderId="35" xfId="369" applyFont="1" applyFill="1" applyBorder="1" applyAlignment="1">
      <alignment horizontal="right" vertical="center"/>
    </xf>
    <xf numFmtId="0" fontId="59" fillId="0" borderId="35" xfId="158" applyFont="1" applyFill="1" applyBorder="1" applyAlignment="1">
      <alignment horizontal="right" vertical="center" wrapText="1"/>
    </xf>
    <xf numFmtId="49" fontId="59" fillId="32" borderId="35" xfId="369" applyNumberFormat="1" applyFont="1" applyFill="1" applyBorder="1" applyAlignment="1">
      <alignment horizontal="right" vertical="center"/>
    </xf>
    <xf numFmtId="0" fontId="44" fillId="32" borderId="35" xfId="369" applyFont="1" applyFill="1" applyBorder="1" applyAlignment="1">
      <alignment horizontal="right" vertical="center"/>
    </xf>
    <xf numFmtId="0" fontId="44" fillId="0" borderId="35" xfId="158" applyFont="1" applyFill="1" applyBorder="1" applyAlignment="1">
      <alignment horizontal="right" vertical="center" wrapText="1"/>
    </xf>
    <xf numFmtId="49" fontId="44" fillId="32" borderId="35" xfId="369" applyNumberFormat="1" applyFont="1" applyFill="1" applyBorder="1" applyAlignment="1">
      <alignment horizontal="right" vertical="center"/>
    </xf>
    <xf numFmtId="0" fontId="44" fillId="32" borderId="35" xfId="158" applyFont="1" applyFill="1" applyBorder="1" applyAlignment="1">
      <alignment horizontal="right" vertical="center" wrapText="1"/>
    </xf>
    <xf numFmtId="49" fontId="44" fillId="0" borderId="35" xfId="2" applyNumberFormat="1" applyFont="1" applyFill="1" applyBorder="1" applyAlignment="1">
      <alignment horizontal="right" vertical="center" wrapText="1"/>
    </xf>
    <xf numFmtId="49" fontId="44" fillId="32" borderId="35" xfId="2" applyNumberFormat="1" applyFont="1" applyFill="1" applyBorder="1" applyAlignment="1">
      <alignment horizontal="right" vertical="center" wrapText="1"/>
    </xf>
    <xf numFmtId="49" fontId="77" fillId="32" borderId="35" xfId="370" applyNumberFormat="1" applyFont="1" applyFill="1" applyBorder="1" applyAlignment="1">
      <alignment horizontal="right" vertical="center"/>
    </xf>
    <xf numFmtId="3" fontId="44" fillId="64" borderId="35" xfId="458" applyNumberFormat="1" applyFont="1" applyFill="1" applyBorder="1" applyAlignment="1">
      <alignment horizontal="right" vertical="center" wrapText="1"/>
    </xf>
    <xf numFmtId="174" fontId="14" fillId="0" borderId="16" xfId="0" applyNumberFormat="1" applyFont="1" applyBorder="1" applyAlignment="1">
      <alignment horizontal="right" vertical="center" wrapText="1"/>
    </xf>
    <xf numFmtId="174" fontId="59" fillId="0" borderId="35" xfId="369" applyNumberFormat="1" applyFont="1" applyFill="1" applyBorder="1" applyAlignment="1">
      <alignment horizontal="right" vertical="center" wrapText="1"/>
    </xf>
    <xf numFmtId="174" fontId="1" fillId="0" borderId="16" xfId="0" applyNumberFormat="1" applyFont="1" applyBorder="1" applyAlignment="1">
      <alignment horizontal="right" vertical="center" wrapText="1"/>
    </xf>
    <xf numFmtId="174" fontId="44" fillId="0" borderId="35" xfId="369" applyNumberFormat="1" applyFont="1" applyFill="1" applyBorder="1" applyAlignment="1">
      <alignment horizontal="right" vertical="center" wrapText="1"/>
    </xf>
    <xf numFmtId="174" fontId="44" fillId="0" borderId="35" xfId="2" applyNumberFormat="1" applyFont="1" applyFill="1" applyBorder="1" applyAlignment="1">
      <alignment horizontal="right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174" fontId="14" fillId="0" borderId="16" xfId="0" applyNumberFormat="1" applyFont="1" applyBorder="1" applyAlignment="1">
      <alignment horizontal="right" wrapText="1"/>
    </xf>
    <xf numFmtId="174" fontId="59" fillId="0" borderId="35" xfId="369" applyNumberFormat="1" applyFont="1" applyFill="1" applyBorder="1" applyAlignment="1">
      <alignment horizontal="right" wrapText="1"/>
    </xf>
    <xf numFmtId="174" fontId="59" fillId="32" borderId="35" xfId="369" applyNumberFormat="1" applyFont="1" applyFill="1" applyBorder="1" applyAlignment="1">
      <alignment horizontal="right" wrapText="1"/>
    </xf>
    <xf numFmtId="174" fontId="59" fillId="0" borderId="36" xfId="369" applyNumberFormat="1" applyFont="1" applyFill="1" applyBorder="1" applyAlignment="1">
      <alignment horizontal="right" wrapText="1"/>
    </xf>
    <xf numFmtId="174" fontId="59" fillId="0" borderId="16" xfId="369" applyNumberFormat="1" applyFont="1" applyFill="1" applyBorder="1" applyAlignment="1">
      <alignment horizontal="right" wrapText="1"/>
    </xf>
    <xf numFmtId="174" fontId="44" fillId="0" borderId="36" xfId="369" applyNumberFormat="1" applyFont="1" applyFill="1" applyBorder="1" applyAlignment="1">
      <alignment horizontal="right" wrapText="1"/>
    </xf>
    <xf numFmtId="174" fontId="44" fillId="0" borderId="40" xfId="369" applyNumberFormat="1" applyFont="1" applyFill="1" applyBorder="1" applyAlignment="1">
      <alignment horizontal="right" wrapText="1"/>
    </xf>
    <xf numFmtId="174" fontId="44" fillId="0" borderId="16" xfId="369" applyNumberFormat="1" applyFont="1" applyFill="1" applyBorder="1" applyAlignment="1">
      <alignment horizontal="right" wrapText="1"/>
    </xf>
    <xf numFmtId="174" fontId="44" fillId="0" borderId="43" xfId="369" applyNumberFormat="1" applyFont="1" applyFill="1" applyBorder="1" applyAlignment="1">
      <alignment horizontal="right" wrapText="1"/>
    </xf>
    <xf numFmtId="174" fontId="44" fillId="0" borderId="41" xfId="369" applyNumberFormat="1" applyFont="1" applyFill="1" applyBorder="1" applyAlignment="1">
      <alignment horizontal="right" wrapText="1"/>
    </xf>
    <xf numFmtId="174" fontId="44" fillId="0" borderId="17" xfId="369" applyNumberFormat="1" applyFont="1" applyFill="1" applyBorder="1" applyAlignment="1">
      <alignment horizontal="right" wrapText="1"/>
    </xf>
    <xf numFmtId="174" fontId="44" fillId="0" borderId="42" xfId="369" applyNumberFormat="1" applyFont="1" applyFill="1" applyBorder="1" applyAlignment="1">
      <alignment horizontal="right" wrapText="1"/>
    </xf>
    <xf numFmtId="174" fontId="44" fillId="0" borderId="50" xfId="369" applyNumberFormat="1" applyFont="1" applyFill="1" applyBorder="1" applyAlignment="1">
      <alignment horizontal="right" wrapText="1"/>
    </xf>
    <xf numFmtId="174" fontId="44" fillId="0" borderId="45" xfId="369" applyNumberFormat="1" applyFont="1" applyFill="1" applyBorder="1" applyAlignment="1">
      <alignment horizontal="right" wrapText="1"/>
    </xf>
    <xf numFmtId="174" fontId="44" fillId="0" borderId="35" xfId="369" applyNumberFormat="1" applyFont="1" applyFill="1" applyBorder="1" applyAlignment="1">
      <alignment horizontal="right" wrapText="1"/>
    </xf>
    <xf numFmtId="174" fontId="44" fillId="0" borderId="39" xfId="369" applyNumberFormat="1" applyFont="1" applyFill="1" applyBorder="1" applyAlignment="1">
      <alignment horizontal="right" wrapText="1"/>
    </xf>
    <xf numFmtId="174" fontId="44" fillId="0" borderId="35" xfId="2" applyNumberFormat="1" applyFont="1" applyFill="1" applyBorder="1" applyAlignment="1">
      <alignment horizontal="right" wrapText="1"/>
    </xf>
    <xf numFmtId="174" fontId="59" fillId="0" borderId="35" xfId="2" applyNumberFormat="1" applyFont="1" applyFill="1" applyBorder="1" applyAlignment="1">
      <alignment horizontal="right" wrapText="1"/>
    </xf>
    <xf numFmtId="174" fontId="59" fillId="0" borderId="35" xfId="2" applyNumberFormat="1" applyFont="1" applyFill="1" applyBorder="1" applyAlignment="1">
      <alignment horizontal="right"/>
    </xf>
    <xf numFmtId="0" fontId="85" fillId="0" borderId="0" xfId="0" applyFont="1"/>
    <xf numFmtId="174" fontId="14" fillId="0" borderId="0" xfId="0" applyNumberFormat="1" applyFont="1" applyAlignment="1">
      <alignment horizontal="right"/>
    </xf>
    <xf numFmtId="174" fontId="14" fillId="0" borderId="16" xfId="0" applyNumberFormat="1" applyFont="1" applyBorder="1" applyAlignment="1">
      <alignment horizontal="right"/>
    </xf>
    <xf numFmtId="0" fontId="83" fillId="0" borderId="0" xfId="0" applyFont="1" applyAlignment="1">
      <alignment vertical="center"/>
    </xf>
    <xf numFmtId="174" fontId="14" fillId="0" borderId="85" xfId="0" applyNumberFormat="1" applyFont="1" applyBorder="1" applyAlignment="1">
      <alignment horizontal="right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/>
    <xf numFmtId="0" fontId="89" fillId="0" borderId="0" xfId="0" applyFont="1" applyAlignment="1"/>
    <xf numFmtId="0" fontId="90" fillId="0" borderId="0" xfId="0" applyFont="1" applyAlignment="1">
      <alignment wrapText="1"/>
    </xf>
    <xf numFmtId="0" fontId="90" fillId="0" borderId="0" xfId="0" applyFont="1" applyAlignment="1"/>
    <xf numFmtId="0" fontId="86" fillId="0" borderId="0" xfId="0" applyFont="1" applyBorder="1" applyAlignment="1">
      <alignment vertical="center"/>
    </xf>
    <xf numFmtId="0" fontId="89" fillId="0" borderId="0" xfId="0" applyFont="1" applyBorder="1" applyAlignment="1"/>
    <xf numFmtId="0" fontId="87" fillId="0" borderId="0" xfId="0" applyFont="1" applyBorder="1"/>
    <xf numFmtId="0" fontId="91" fillId="0" borderId="0" xfId="0" applyFont="1" applyAlignment="1"/>
    <xf numFmtId="0" fontId="95" fillId="0" borderId="0" xfId="159" applyFont="1" applyFill="1"/>
    <xf numFmtId="49" fontId="97" fillId="0" borderId="11" xfId="159" applyNumberFormat="1" applyFont="1" applyFill="1" applyBorder="1" applyAlignment="1">
      <alignment horizontal="center" vertical="center"/>
    </xf>
    <xf numFmtId="0" fontId="97" fillId="0" borderId="68" xfId="159" applyFont="1" applyFill="1" applyBorder="1" applyAlignment="1">
      <alignment horizontal="center" vertical="center" wrapText="1"/>
    </xf>
    <xf numFmtId="0" fontId="97" fillId="0" borderId="4" xfId="159" applyFont="1" applyFill="1" applyBorder="1" applyAlignment="1">
      <alignment horizontal="center" vertical="center" wrapText="1"/>
    </xf>
    <xf numFmtId="49" fontId="97" fillId="0" borderId="68" xfId="159" applyNumberFormat="1" applyFont="1" applyFill="1" applyBorder="1" applyAlignment="1">
      <alignment horizontal="center" vertical="center"/>
    </xf>
    <xf numFmtId="49" fontId="97" fillId="0" borderId="69" xfId="159" applyNumberFormat="1" applyFont="1" applyFill="1" applyBorder="1" applyAlignment="1">
      <alignment horizontal="center" vertical="center"/>
    </xf>
    <xf numFmtId="49" fontId="97" fillId="0" borderId="70" xfId="159" applyNumberFormat="1" applyFont="1" applyFill="1" applyBorder="1" applyAlignment="1">
      <alignment horizontal="center" vertical="center"/>
    </xf>
    <xf numFmtId="0" fontId="97" fillId="0" borderId="71" xfId="159" applyFont="1" applyFill="1" applyBorder="1" applyAlignment="1">
      <alignment horizontal="center" vertical="center" wrapText="1"/>
    </xf>
    <xf numFmtId="0" fontId="95" fillId="0" borderId="0" xfId="159" applyFont="1" applyFill="1" applyAlignment="1">
      <alignment vertical="center"/>
    </xf>
    <xf numFmtId="49" fontId="94" fillId="66" borderId="11" xfId="0" applyNumberFormat="1" applyFont="1" applyFill="1" applyBorder="1" applyAlignment="1">
      <alignment horizontal="center" vertical="center"/>
    </xf>
    <xf numFmtId="0" fontId="94" fillId="66" borderId="68" xfId="0" applyFont="1" applyFill="1" applyBorder="1" applyAlignment="1">
      <alignment horizontal="left" vertical="center" wrapText="1" indent="1"/>
    </xf>
    <xf numFmtId="0" fontId="94" fillId="66" borderId="4" xfId="159" applyFont="1" applyFill="1" applyBorder="1" applyAlignment="1">
      <alignment horizontal="center" vertical="center"/>
    </xf>
    <xf numFmtId="4" fontId="99" fillId="66" borderId="8" xfId="0" applyNumberFormat="1" applyFont="1" applyFill="1" applyBorder="1" applyAlignment="1"/>
    <xf numFmtId="4" fontId="99" fillId="66" borderId="68" xfId="0" applyNumberFormat="1" applyFont="1" applyFill="1" applyBorder="1" applyAlignment="1"/>
    <xf numFmtId="4" fontId="94" fillId="66" borderId="8" xfId="159" applyNumberFormat="1" applyFont="1" applyFill="1" applyBorder="1" applyAlignment="1">
      <alignment horizontal="right"/>
    </xf>
    <xf numFmtId="4" fontId="94" fillId="66" borderId="68" xfId="159" applyNumberFormat="1" applyFont="1" applyFill="1" applyBorder="1" applyAlignment="1">
      <alignment horizontal="right"/>
    </xf>
    <xf numFmtId="4" fontId="99" fillId="66" borderId="68" xfId="0" applyNumberFormat="1" applyFont="1" applyFill="1" applyBorder="1" applyAlignment="1">
      <alignment horizontal="right"/>
    </xf>
    <xf numFmtId="4" fontId="99" fillId="66" borderId="8" xfId="0" applyNumberFormat="1" applyFont="1" applyFill="1" applyBorder="1" applyAlignment="1">
      <alignment horizontal="right"/>
    </xf>
    <xf numFmtId="49" fontId="100" fillId="0" borderId="72" xfId="0" applyNumberFormat="1" applyFont="1" applyFill="1" applyBorder="1" applyAlignment="1">
      <alignment horizontal="center" vertical="center"/>
    </xf>
    <xf numFmtId="0" fontId="100" fillId="0" borderId="73" xfId="159" applyFont="1" applyFill="1" applyBorder="1" applyAlignment="1">
      <alignment horizontal="center" vertical="center"/>
    </xf>
    <xf numFmtId="4" fontId="100" fillId="0" borderId="72" xfId="159" applyNumberFormat="1" applyFont="1" applyFill="1" applyBorder="1" applyAlignment="1">
      <alignment horizontal="right"/>
    </xf>
    <xf numFmtId="4" fontId="100" fillId="0" borderId="58" xfId="159" applyNumberFormat="1" applyFont="1" applyFill="1" applyBorder="1" applyAlignment="1">
      <alignment horizontal="right"/>
    </xf>
    <xf numFmtId="0" fontId="87" fillId="0" borderId="58" xfId="0" applyFont="1" applyFill="1" applyBorder="1"/>
    <xf numFmtId="0" fontId="95" fillId="0" borderId="58" xfId="159" applyFont="1" applyFill="1" applyBorder="1" applyAlignment="1">
      <alignment horizontal="left" vertical="center" wrapText="1" indent="1"/>
    </xf>
    <xf numFmtId="4" fontId="95" fillId="0" borderId="58" xfId="3229" applyNumberFormat="1" applyFont="1" applyFill="1" applyBorder="1" applyAlignment="1">
      <alignment vertical="center"/>
    </xf>
    <xf numFmtId="43" fontId="95" fillId="0" borderId="58" xfId="3229" applyFont="1" applyFill="1" applyBorder="1" applyAlignment="1">
      <alignment horizontal="center" vertical="center"/>
    </xf>
    <xf numFmtId="0" fontId="95" fillId="0" borderId="58" xfId="159" applyFont="1" applyFill="1" applyBorder="1" applyAlignment="1">
      <alignment horizontal="left" vertical="center" indent="1"/>
    </xf>
    <xf numFmtId="49" fontId="100" fillId="67" borderId="72" xfId="0" applyNumberFormat="1" applyFont="1" applyFill="1" applyBorder="1" applyAlignment="1">
      <alignment horizontal="center" vertical="center"/>
    </xf>
    <xf numFmtId="0" fontId="95" fillId="67" borderId="58" xfId="159" applyFont="1" applyFill="1" applyBorder="1" applyAlignment="1">
      <alignment horizontal="left" vertical="center" indent="1"/>
    </xf>
    <xf numFmtId="0" fontId="100" fillId="67" borderId="73" xfId="159" applyFont="1" applyFill="1" applyBorder="1" applyAlignment="1">
      <alignment horizontal="center" vertical="center"/>
    </xf>
    <xf numFmtId="2" fontId="100" fillId="67" borderId="58" xfId="3229" applyNumberFormat="1" applyFont="1" applyFill="1" applyBorder="1" applyAlignment="1">
      <alignment horizontal="right" vertical="center"/>
    </xf>
    <xf numFmtId="2" fontId="100" fillId="0" borderId="58" xfId="159" applyNumberFormat="1" applyFont="1" applyFill="1" applyBorder="1" applyAlignment="1"/>
    <xf numFmtId="2" fontId="100" fillId="0" borderId="58" xfId="3229" applyNumberFormat="1" applyFont="1" applyFill="1" applyBorder="1" applyAlignment="1">
      <alignment horizontal="right" vertical="center"/>
    </xf>
    <xf numFmtId="4" fontId="100" fillId="67" borderId="58" xfId="159" applyNumberFormat="1" applyFont="1" applyFill="1" applyBorder="1" applyAlignment="1">
      <alignment horizontal="right"/>
    </xf>
    <xf numFmtId="43" fontId="95" fillId="67" borderId="58" xfId="3229" applyFont="1" applyFill="1" applyBorder="1" applyAlignment="1">
      <alignment horizontal="center" vertical="center"/>
    </xf>
    <xf numFmtId="4" fontId="100" fillId="0" borderId="58" xfId="159" applyNumberFormat="1" applyFont="1" applyFill="1" applyBorder="1" applyAlignment="1"/>
    <xf numFmtId="0" fontId="95" fillId="0" borderId="58" xfId="159" applyFont="1" applyFill="1" applyBorder="1" applyAlignment="1">
      <alignment horizontal="left" vertical="center" indent="3"/>
    </xf>
    <xf numFmtId="4" fontId="100" fillId="67" borderId="74" xfId="159" applyNumberFormat="1" applyFont="1" applyFill="1" applyBorder="1" applyAlignment="1">
      <alignment horizontal="right"/>
    </xf>
    <xf numFmtId="0" fontId="95" fillId="0" borderId="58" xfId="159" applyFont="1" applyFill="1" applyBorder="1" applyAlignment="1">
      <alignment horizontal="left" vertical="center" wrapText="1" indent="3"/>
    </xf>
    <xf numFmtId="4" fontId="87" fillId="0" borderId="58" xfId="0" applyNumberFormat="1" applyFont="1" applyFill="1" applyBorder="1" applyAlignment="1"/>
    <xf numFmtId="4" fontId="87" fillId="67" borderId="58" xfId="0" applyNumberFormat="1" applyFont="1" applyFill="1" applyBorder="1" applyAlignment="1"/>
    <xf numFmtId="2" fontId="87" fillId="67" borderId="58" xfId="0" applyNumberFormat="1" applyFont="1" applyFill="1" applyBorder="1"/>
    <xf numFmtId="2" fontId="87" fillId="0" borderId="58" xfId="0" applyNumberFormat="1" applyFont="1" applyFill="1" applyBorder="1"/>
    <xf numFmtId="0" fontId="100" fillId="0" borderId="58" xfId="159" applyFont="1" applyFill="1" applyBorder="1" applyAlignment="1">
      <alignment horizontal="center" vertical="center"/>
    </xf>
    <xf numFmtId="49" fontId="100" fillId="68" borderId="11" xfId="0" applyNumberFormat="1" applyFont="1" applyFill="1" applyBorder="1" applyAlignment="1">
      <alignment horizontal="center" vertical="center"/>
    </xf>
    <xf numFmtId="0" fontId="95" fillId="68" borderId="68" xfId="0" applyFont="1" applyFill="1" applyBorder="1" applyAlignment="1">
      <alignment horizontal="left" vertical="center" wrapText="1" indent="1"/>
    </xf>
    <xf numFmtId="0" fontId="100" fillId="68" borderId="4" xfId="159" applyFont="1" applyFill="1" applyBorder="1" applyAlignment="1">
      <alignment horizontal="center" vertical="center"/>
    </xf>
    <xf numFmtId="4" fontId="100" fillId="68" borderId="68" xfId="159" applyNumberFormat="1" applyFont="1" applyFill="1" applyBorder="1" applyAlignment="1"/>
    <xf numFmtId="4" fontId="100" fillId="68" borderId="68" xfId="159" applyNumberFormat="1" applyFont="1" applyFill="1" applyBorder="1" applyAlignment="1">
      <alignment horizontal="right"/>
    </xf>
    <xf numFmtId="49" fontId="100" fillId="0" borderId="76" xfId="0" applyNumberFormat="1" applyFont="1" applyFill="1" applyBorder="1" applyAlignment="1">
      <alignment horizontal="center" vertical="center"/>
    </xf>
    <xf numFmtId="0" fontId="95" fillId="0" borderId="22" xfId="159" applyFont="1" applyFill="1" applyBorder="1" applyAlignment="1">
      <alignment horizontal="left" vertical="center" wrapText="1" indent="3"/>
    </xf>
    <xf numFmtId="0" fontId="100" fillId="0" borderId="77" xfId="159" applyFont="1" applyFill="1" applyBorder="1" applyAlignment="1">
      <alignment horizontal="center" vertical="center"/>
    </xf>
    <xf numFmtId="4" fontId="87" fillId="0" borderId="22" xfId="0" applyNumberFormat="1" applyFont="1" applyFill="1" applyBorder="1" applyAlignment="1"/>
    <xf numFmtId="4" fontId="87" fillId="0" borderId="48" xfId="0" applyNumberFormat="1" applyFont="1" applyFill="1" applyBorder="1" applyAlignment="1"/>
    <xf numFmtId="0" fontId="100" fillId="0" borderId="50" xfId="159" applyFont="1" applyFill="1" applyBorder="1" applyAlignment="1">
      <alignment horizontal="center" vertical="center"/>
    </xf>
    <xf numFmtId="0" fontId="87" fillId="0" borderId="22" xfId="0" applyFont="1" applyFill="1" applyBorder="1"/>
    <xf numFmtId="0" fontId="95" fillId="0" borderId="58" xfId="159" applyFont="1" applyFill="1" applyBorder="1" applyAlignment="1">
      <alignment horizontal="left" vertical="center" wrapText="1" indent="5"/>
    </xf>
    <xf numFmtId="4" fontId="100" fillId="0" borderId="72" xfId="159" applyNumberFormat="1" applyFont="1" applyFill="1" applyBorder="1" applyAlignment="1"/>
    <xf numFmtId="4" fontId="100" fillId="0" borderId="78" xfId="159" applyNumberFormat="1" applyFont="1" applyFill="1" applyBorder="1" applyAlignment="1"/>
    <xf numFmtId="178" fontId="100" fillId="67" borderId="58" xfId="159" applyNumberFormat="1" applyFont="1" applyFill="1" applyBorder="1" applyAlignment="1">
      <alignment horizontal="right"/>
    </xf>
    <xf numFmtId="178" fontId="87" fillId="67" borderId="58" xfId="0" applyNumberFormat="1" applyFont="1" applyFill="1" applyBorder="1" applyAlignment="1">
      <alignment horizontal="right"/>
    </xf>
    <xf numFmtId="0" fontId="95" fillId="0" borderId="58" xfId="0" applyFont="1" applyFill="1" applyBorder="1" applyAlignment="1">
      <alignment horizontal="left" vertical="center" wrapText="1" indent="7"/>
    </xf>
    <xf numFmtId="178" fontId="100" fillId="0" borderId="58" xfId="159" applyNumberFormat="1" applyFont="1" applyFill="1" applyBorder="1" applyAlignment="1">
      <alignment horizontal="center" vertical="center"/>
    </xf>
    <xf numFmtId="178" fontId="87" fillId="0" borderId="58" xfId="0" applyNumberFormat="1" applyFont="1" applyFill="1" applyBorder="1"/>
    <xf numFmtId="0" fontId="95" fillId="67" borderId="58" xfId="159" applyFont="1" applyFill="1" applyBorder="1" applyAlignment="1">
      <alignment horizontal="left" vertical="center" indent="3"/>
    </xf>
    <xf numFmtId="178" fontId="100" fillId="67" borderId="58" xfId="159" applyNumberFormat="1" applyFont="1" applyFill="1" applyBorder="1" applyAlignment="1">
      <alignment horizontal="right" vertical="center"/>
    </xf>
    <xf numFmtId="178" fontId="87" fillId="67" borderId="58" xfId="0" applyNumberFormat="1" applyFont="1" applyFill="1" applyBorder="1"/>
    <xf numFmtId="0" fontId="100" fillId="67" borderId="58" xfId="159" applyFont="1" applyFill="1" applyBorder="1" applyAlignment="1">
      <alignment horizontal="right" vertical="center"/>
    </xf>
    <xf numFmtId="4" fontId="100" fillId="68" borderId="8" xfId="159" applyNumberFormat="1" applyFont="1" applyFill="1" applyBorder="1" applyAlignment="1">
      <alignment horizontal="right"/>
    </xf>
    <xf numFmtId="2" fontId="87" fillId="67" borderId="22" xfId="0" applyNumberFormat="1" applyFont="1" applyFill="1" applyBorder="1"/>
    <xf numFmtId="2" fontId="100" fillId="67" borderId="50" xfId="159" applyNumberFormat="1" applyFont="1" applyFill="1" applyBorder="1" applyAlignment="1">
      <alignment horizontal="right"/>
    </xf>
    <xf numFmtId="0" fontId="95" fillId="67" borderId="58" xfId="159" applyFont="1" applyFill="1" applyBorder="1" applyAlignment="1">
      <alignment horizontal="left" vertical="center" wrapText="1" indent="3"/>
    </xf>
    <xf numFmtId="2" fontId="87" fillId="67" borderId="58" xfId="0" applyNumberFormat="1" applyFont="1" applyFill="1" applyBorder="1" applyAlignment="1">
      <alignment vertical="center"/>
    </xf>
    <xf numFmtId="178" fontId="87" fillId="67" borderId="58" xfId="0" applyNumberFormat="1" applyFont="1" applyFill="1" applyBorder="1" applyAlignment="1">
      <alignment horizontal="right" vertical="center"/>
    </xf>
    <xf numFmtId="4" fontId="87" fillId="68" borderId="68" xfId="0" applyNumberFormat="1" applyFont="1" applyFill="1" applyBorder="1" applyAlignment="1"/>
    <xf numFmtId="2" fontId="87" fillId="68" borderId="68" xfId="0" applyNumberFormat="1" applyFont="1" applyFill="1" applyBorder="1"/>
    <xf numFmtId="2" fontId="87" fillId="68" borderId="8" xfId="0" applyNumberFormat="1" applyFont="1" applyFill="1" applyBorder="1"/>
    <xf numFmtId="2" fontId="87" fillId="68" borderId="68" xfId="0" applyNumberFormat="1" applyFont="1" applyFill="1" applyBorder="1" applyAlignment="1">
      <alignment horizontal="right"/>
    </xf>
    <xf numFmtId="4" fontId="87" fillId="0" borderId="58" xfId="0" applyNumberFormat="1" applyFont="1" applyFill="1" applyBorder="1"/>
    <xf numFmtId="49" fontId="100" fillId="0" borderId="79" xfId="0" applyNumberFormat="1" applyFont="1" applyFill="1" applyBorder="1" applyAlignment="1">
      <alignment horizontal="center" vertical="center"/>
    </xf>
    <xf numFmtId="0" fontId="95" fillId="0" borderId="80" xfId="159" applyFont="1" applyFill="1" applyBorder="1" applyAlignment="1">
      <alignment horizontal="left" vertical="center" indent="3"/>
    </xf>
    <xf numFmtId="0" fontId="100" fillId="0" borderId="81" xfId="159" applyFont="1" applyFill="1" applyBorder="1" applyAlignment="1">
      <alignment horizontal="center" vertical="center"/>
    </xf>
    <xf numFmtId="4" fontId="87" fillId="0" borderId="80" xfId="0" applyNumberFormat="1" applyFont="1" applyFill="1" applyBorder="1" applyAlignment="1"/>
    <xf numFmtId="2" fontId="87" fillId="0" borderId="80" xfId="0" applyNumberFormat="1" applyFont="1" applyFill="1" applyBorder="1"/>
    <xf numFmtId="4" fontId="100" fillId="67" borderId="58" xfId="159" applyNumberFormat="1" applyFont="1" applyFill="1" applyBorder="1" applyAlignment="1"/>
    <xf numFmtId="0" fontId="87" fillId="67" borderId="58" xfId="0" applyFont="1" applyFill="1" applyBorder="1"/>
    <xf numFmtId="0" fontId="95" fillId="0" borderId="58" xfId="0" applyFont="1" applyFill="1" applyBorder="1" applyAlignment="1">
      <alignment horizontal="left" vertical="center" wrapText="1" indent="1"/>
    </xf>
    <xf numFmtId="0" fontId="99" fillId="66" borderId="68" xfId="0" applyFont="1" applyFill="1" applyBorder="1"/>
    <xf numFmtId="0" fontId="94" fillId="66" borderId="8" xfId="159" applyFont="1" applyFill="1" applyBorder="1" applyAlignment="1">
      <alignment horizontal="center" vertical="center"/>
    </xf>
    <xf numFmtId="0" fontId="99" fillId="66" borderId="8" xfId="0" applyFont="1" applyFill="1" applyBorder="1"/>
    <xf numFmtId="0" fontId="87" fillId="0" borderId="58" xfId="0" applyFont="1" applyFill="1" applyBorder="1" applyAlignment="1">
      <alignment horizontal="right"/>
    </xf>
    <xf numFmtId="0" fontId="87" fillId="0" borderId="58" xfId="0" applyFont="1" applyFill="1" applyBorder="1" applyAlignment="1"/>
    <xf numFmtId="4" fontId="94" fillId="66" borderId="8" xfId="159" applyNumberFormat="1" applyFont="1" applyFill="1" applyBorder="1" applyAlignment="1">
      <alignment vertical="center"/>
    </xf>
    <xf numFmtId="4" fontId="94" fillId="66" borderId="68" xfId="159" applyNumberFormat="1" applyFont="1" applyFill="1" applyBorder="1" applyAlignment="1">
      <alignment vertical="center"/>
    </xf>
    <xf numFmtId="2" fontId="94" fillId="66" borderId="8" xfId="159" applyNumberFormat="1" applyFont="1" applyFill="1" applyBorder="1" applyAlignment="1">
      <alignment horizontal="right" vertical="center"/>
    </xf>
    <xf numFmtId="2" fontId="94" fillId="66" borderId="68" xfId="159" applyNumberFormat="1" applyFont="1" applyFill="1" applyBorder="1" applyAlignment="1">
      <alignment horizontal="right" vertical="center"/>
    </xf>
    <xf numFmtId="174" fontId="94" fillId="66" borderId="68" xfId="159" applyNumberFormat="1" applyFont="1" applyFill="1" applyBorder="1" applyAlignment="1">
      <alignment horizontal="right" vertical="center"/>
    </xf>
    <xf numFmtId="2" fontId="87" fillId="0" borderId="58" xfId="0" applyNumberFormat="1" applyFont="1" applyFill="1" applyBorder="1" applyAlignment="1">
      <alignment horizontal="right"/>
    </xf>
    <xf numFmtId="4" fontId="100" fillId="0" borderId="22" xfId="159" applyNumberFormat="1" applyFont="1" applyFill="1" applyBorder="1" applyAlignment="1">
      <alignment vertical="center"/>
    </xf>
    <xf numFmtId="2" fontId="100" fillId="0" borderId="22" xfId="159" applyNumberFormat="1" applyFont="1" applyFill="1" applyBorder="1" applyAlignment="1">
      <alignment horizontal="right" vertical="center"/>
    </xf>
    <xf numFmtId="0" fontId="95" fillId="0" borderId="82" xfId="0" applyFont="1" applyFill="1" applyBorder="1" applyAlignment="1">
      <alignment horizontal="left" vertical="center" wrapText="1" indent="1"/>
    </xf>
    <xf numFmtId="0" fontId="100" fillId="0" borderId="7" xfId="159" applyFont="1" applyFill="1" applyBorder="1" applyAlignment="1">
      <alignment horizontal="center" vertical="center"/>
    </xf>
    <xf numFmtId="4" fontId="87" fillId="0" borderId="9" xfId="0" applyNumberFormat="1" applyFont="1" applyFill="1" applyBorder="1" applyAlignment="1"/>
    <xf numFmtId="4" fontId="87" fillId="0" borderId="74" xfId="0" applyNumberFormat="1" applyFont="1" applyFill="1" applyBorder="1" applyAlignment="1"/>
    <xf numFmtId="0" fontId="87" fillId="0" borderId="74" xfId="0" applyFont="1" applyFill="1" applyBorder="1" applyAlignment="1">
      <alignment horizontal="right"/>
    </xf>
    <xf numFmtId="0" fontId="87" fillId="0" borderId="80" xfId="0" applyFont="1" applyFill="1" applyBorder="1" applyAlignment="1">
      <alignment horizontal="right"/>
    </xf>
    <xf numFmtId="0" fontId="87" fillId="0" borderId="74" xfId="0" applyFont="1" applyFill="1" applyBorder="1"/>
    <xf numFmtId="0" fontId="87" fillId="0" borderId="80" xfId="0" applyFont="1" applyFill="1" applyBorder="1"/>
    <xf numFmtId="0" fontId="95" fillId="0" borderId="80" xfId="0" applyFont="1" applyFill="1" applyBorder="1" applyAlignment="1">
      <alignment horizontal="left" vertical="center" wrapText="1" indent="1"/>
    </xf>
    <xf numFmtId="2" fontId="99" fillId="66" borderId="68" xfId="0" applyNumberFormat="1" applyFont="1" applyFill="1" applyBorder="1"/>
    <xf numFmtId="4" fontId="87" fillId="67" borderId="58" xfId="0" applyNumberFormat="1" applyFont="1" applyFill="1" applyBorder="1"/>
    <xf numFmtId="164" fontId="87" fillId="67" borderId="58" xfId="0" applyNumberFormat="1" applyFont="1" applyFill="1" applyBorder="1"/>
    <xf numFmtId="4" fontId="99" fillId="66" borderId="68" xfId="0" applyNumberFormat="1" applyFont="1" applyFill="1" applyBorder="1"/>
    <xf numFmtId="0" fontId="95" fillId="67" borderId="58" xfId="0" applyFont="1" applyFill="1" applyBorder="1" applyAlignment="1">
      <alignment horizontal="left" vertical="center" wrapText="1" indent="1"/>
    </xf>
    <xf numFmtId="2" fontId="87" fillId="67" borderId="58" xfId="0" applyNumberFormat="1" applyFont="1" applyFill="1" applyBorder="1" applyAlignment="1">
      <alignment horizontal="right"/>
    </xf>
    <xf numFmtId="0" fontId="94" fillId="66" borderId="58" xfId="0" applyFont="1" applyFill="1" applyBorder="1" applyAlignment="1">
      <alignment vertical="center" wrapText="1"/>
    </xf>
    <xf numFmtId="4" fontId="101" fillId="66" borderId="58" xfId="0" applyNumberFormat="1" applyFont="1" applyFill="1" applyBorder="1"/>
    <xf numFmtId="0" fontId="101" fillId="66" borderId="58" xfId="0" applyFont="1" applyFill="1" applyBorder="1"/>
    <xf numFmtId="4" fontId="99" fillId="66" borderId="8" xfId="0" applyNumberFormat="1" applyFont="1" applyFill="1" applyBorder="1"/>
    <xf numFmtId="0" fontId="94" fillId="66" borderId="68" xfId="159" applyFont="1" applyFill="1" applyBorder="1" applyAlignment="1">
      <alignment horizontal="center" vertical="center"/>
    </xf>
    <xf numFmtId="178" fontId="99" fillId="66" borderId="8" xfId="0" applyNumberFormat="1" applyFont="1" applyFill="1" applyBorder="1"/>
    <xf numFmtId="2" fontId="99" fillId="66" borderId="8" xfId="0" applyNumberFormat="1" applyFont="1" applyFill="1" applyBorder="1"/>
    <xf numFmtId="1" fontId="99" fillId="66" borderId="8" xfId="0" applyNumberFormat="1" applyFont="1" applyFill="1" applyBorder="1"/>
    <xf numFmtId="2" fontId="100" fillId="32" borderId="58" xfId="3229" applyNumberFormat="1" applyFont="1" applyFill="1" applyBorder="1" applyAlignment="1">
      <alignment horizontal="right" vertical="center"/>
    </xf>
    <xf numFmtId="2" fontId="100" fillId="0" borderId="58" xfId="159" applyNumberFormat="1" applyFont="1" applyFill="1" applyBorder="1" applyAlignment="1">
      <alignment horizontal="right" vertical="center"/>
    </xf>
    <xf numFmtId="2" fontId="102" fillId="0" borderId="58" xfId="0" applyNumberFormat="1" applyFont="1" applyFill="1" applyBorder="1"/>
    <xf numFmtId="0" fontId="95" fillId="0" borderId="58" xfId="159" applyFont="1" applyFill="1" applyBorder="1" applyAlignment="1">
      <alignment horizontal="left" vertical="center" indent="5"/>
    </xf>
    <xf numFmtId="0" fontId="95" fillId="0" borderId="80" xfId="159" applyFont="1" applyFill="1" applyBorder="1" applyAlignment="1">
      <alignment horizontal="left" vertical="center" indent="5"/>
    </xf>
    <xf numFmtId="4" fontId="87" fillId="0" borderId="80" xfId="0" applyNumberFormat="1" applyFont="1" applyFill="1" applyBorder="1"/>
    <xf numFmtId="0" fontId="100" fillId="0" borderId="83" xfId="159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vertical="center" wrapText="1"/>
    </xf>
    <xf numFmtId="0" fontId="87" fillId="0" borderId="22" xfId="0" applyFont="1" applyFill="1" applyBorder="1" applyAlignment="1">
      <alignment horizontal="center" vertical="center"/>
    </xf>
    <xf numFmtId="4" fontId="87" fillId="0" borderId="58" xfId="0" applyNumberFormat="1" applyFont="1" applyFill="1" applyBorder="1" applyAlignment="1">
      <alignment horizontal="center" vertical="center"/>
    </xf>
    <xf numFmtId="0" fontId="87" fillId="0" borderId="58" xfId="0" applyFont="1" applyFill="1" applyBorder="1" applyAlignment="1">
      <alignment horizontal="center" vertical="center"/>
    </xf>
    <xf numFmtId="49" fontId="94" fillId="69" borderId="76" xfId="0" applyNumberFormat="1" applyFont="1" applyFill="1" applyBorder="1" applyAlignment="1">
      <alignment horizontal="center" vertical="center"/>
    </xf>
    <xf numFmtId="0" fontId="94" fillId="69" borderId="22" xfId="0" applyFont="1" applyFill="1" applyBorder="1" applyAlignment="1">
      <alignment vertical="center" wrapText="1"/>
    </xf>
    <xf numFmtId="0" fontId="94" fillId="69" borderId="77" xfId="159" applyFont="1" applyFill="1" applyBorder="1" applyAlignment="1">
      <alignment horizontal="center" vertical="center"/>
    </xf>
    <xf numFmtId="0" fontId="99" fillId="69" borderId="22" xfId="0" applyFont="1" applyFill="1" applyBorder="1" applyAlignment="1">
      <alignment horizontal="center" vertical="center"/>
    </xf>
    <xf numFmtId="0" fontId="99" fillId="69" borderId="58" xfId="0" applyFont="1" applyFill="1" applyBorder="1" applyAlignment="1">
      <alignment horizontal="center" vertical="center"/>
    </xf>
    <xf numFmtId="2" fontId="87" fillId="0" borderId="58" xfId="0" applyNumberFormat="1" applyFont="1" applyFill="1" applyBorder="1" applyAlignment="1"/>
    <xf numFmtId="174" fontId="87" fillId="0" borderId="58" xfId="0" applyNumberFormat="1" applyFont="1" applyFill="1" applyBorder="1"/>
    <xf numFmtId="49" fontId="100" fillId="70" borderId="72" xfId="0" applyNumberFormat="1" applyFont="1" applyFill="1" applyBorder="1" applyAlignment="1">
      <alignment horizontal="center" vertical="center"/>
    </xf>
    <xf numFmtId="0" fontId="95" fillId="70" borderId="58" xfId="0" applyFont="1" applyFill="1" applyBorder="1" applyAlignment="1">
      <alignment horizontal="left" vertical="center" wrapText="1" indent="1"/>
    </xf>
    <xf numFmtId="2" fontId="100" fillId="70" borderId="58" xfId="159" applyNumberFormat="1" applyFont="1" applyFill="1" applyBorder="1" applyAlignment="1">
      <alignment horizontal="right" vertical="center"/>
    </xf>
    <xf numFmtId="0" fontId="95" fillId="70" borderId="58" xfId="159" applyFont="1" applyFill="1" applyBorder="1" applyAlignment="1">
      <alignment horizontal="left" vertical="center" wrapText="1" indent="3"/>
    </xf>
    <xf numFmtId="0" fontId="100" fillId="70" borderId="73" xfId="159" applyFont="1" applyFill="1" applyBorder="1" applyAlignment="1">
      <alignment horizontal="center" vertical="center"/>
    </xf>
    <xf numFmtId="2" fontId="87" fillId="70" borderId="58" xfId="0" applyNumberFormat="1" applyFont="1" applyFill="1" applyBorder="1" applyAlignment="1"/>
    <xf numFmtId="0" fontId="87" fillId="70" borderId="58" xfId="0" applyFont="1" applyFill="1" applyBorder="1" applyAlignment="1"/>
    <xf numFmtId="174" fontId="87" fillId="70" borderId="58" xfId="0" applyNumberFormat="1" applyFont="1" applyFill="1" applyBorder="1" applyAlignment="1"/>
    <xf numFmtId="0" fontId="95" fillId="70" borderId="58" xfId="159" applyFont="1" applyFill="1" applyBorder="1" applyAlignment="1">
      <alignment horizontal="left" vertical="center" indent="5"/>
    </xf>
    <xf numFmtId="0" fontId="87" fillId="70" borderId="58" xfId="0" applyFont="1" applyFill="1" applyBorder="1"/>
    <xf numFmtId="2" fontId="87" fillId="70" borderId="58" xfId="0" applyNumberFormat="1" applyFont="1" applyFill="1" applyBorder="1"/>
    <xf numFmtId="4" fontId="87" fillId="70" borderId="58" xfId="0" applyNumberFormat="1" applyFont="1" applyFill="1" applyBorder="1"/>
    <xf numFmtId="0" fontId="95" fillId="0" borderId="58" xfId="0" applyFont="1" applyFill="1" applyBorder="1" applyAlignment="1">
      <alignment vertical="center" wrapText="1"/>
    </xf>
    <xf numFmtId="0" fontId="87" fillId="0" borderId="73" xfId="0" applyFont="1" applyFill="1" applyBorder="1" applyAlignment="1">
      <alignment horizontal="center" vertical="center"/>
    </xf>
    <xf numFmtId="49" fontId="100" fillId="68" borderId="79" xfId="0" applyNumberFormat="1" applyFont="1" applyFill="1" applyBorder="1" applyAlignment="1">
      <alignment horizontal="center" vertical="center"/>
    </xf>
    <xf numFmtId="0" fontId="95" fillId="68" borderId="80" xfId="0" applyFont="1" applyFill="1" applyBorder="1" applyAlignment="1">
      <alignment vertical="center" wrapText="1"/>
    </xf>
    <xf numFmtId="0" fontId="100" fillId="68" borderId="81" xfId="159" applyFont="1" applyFill="1" applyBorder="1" applyAlignment="1">
      <alignment horizontal="center" vertical="center"/>
    </xf>
    <xf numFmtId="0" fontId="87" fillId="68" borderId="80" xfId="0" applyFont="1" applyFill="1" applyBorder="1" applyAlignment="1">
      <alignment horizontal="center"/>
    </xf>
    <xf numFmtId="0" fontId="100" fillId="68" borderId="83" xfId="159" applyFont="1" applyFill="1" applyBorder="1" applyAlignment="1">
      <alignment horizontal="center" vertical="center"/>
    </xf>
    <xf numFmtId="0" fontId="96" fillId="0" borderId="58" xfId="159" applyFont="1" applyFill="1" applyBorder="1" applyAlignment="1">
      <alignment horizontal="center" vertical="center" wrapText="1"/>
    </xf>
    <xf numFmtId="49" fontId="97" fillId="0" borderId="79" xfId="159" applyNumberFormat="1" applyFont="1" applyFill="1" applyBorder="1" applyAlignment="1">
      <alignment horizontal="center" vertical="center"/>
    </xf>
    <xf numFmtId="0" fontId="97" fillId="0" borderId="80" xfId="159" applyFont="1" applyFill="1" applyBorder="1" applyAlignment="1">
      <alignment horizontal="center" vertical="center" wrapText="1"/>
    </xf>
    <xf numFmtId="0" fontId="97" fillId="0" borderId="81" xfId="159" applyFont="1" applyFill="1" applyBorder="1" applyAlignment="1">
      <alignment horizontal="center" vertical="center" wrapText="1"/>
    </xf>
    <xf numFmtId="0" fontId="97" fillId="0" borderId="80" xfId="159" applyFont="1" applyFill="1" applyBorder="1" applyAlignment="1">
      <alignment horizontal="center" vertical="center"/>
    </xf>
    <xf numFmtId="173" fontId="94" fillId="66" borderId="68" xfId="159" applyNumberFormat="1" applyFont="1" applyFill="1" applyBorder="1" applyAlignment="1">
      <alignment horizontal="right"/>
    </xf>
    <xf numFmtId="49" fontId="94" fillId="68" borderId="11" xfId="0" applyNumberFormat="1" applyFont="1" applyFill="1" applyBorder="1" applyAlignment="1">
      <alignment horizontal="center" vertical="center"/>
    </xf>
    <xf numFmtId="0" fontId="94" fillId="68" borderId="68" xfId="0" applyFont="1" applyFill="1" applyBorder="1" applyAlignment="1">
      <alignment vertical="center"/>
    </xf>
    <xf numFmtId="0" fontId="94" fillId="68" borderId="4" xfId="159" applyFont="1" applyFill="1" applyBorder="1" applyAlignment="1">
      <alignment horizontal="center" vertical="center"/>
    </xf>
    <xf numFmtId="173" fontId="94" fillId="68" borderId="68" xfId="159" applyNumberFormat="1" applyFont="1" applyFill="1" applyBorder="1" applyAlignment="1">
      <alignment horizontal="right"/>
    </xf>
    <xf numFmtId="0" fontId="95" fillId="0" borderId="22" xfId="0" applyFont="1" applyFill="1" applyBorder="1" applyAlignment="1">
      <alignment horizontal="left" vertical="center" wrapText="1" indent="1"/>
    </xf>
    <xf numFmtId="173" fontId="100" fillId="0" borderId="64" xfId="159" applyNumberFormat="1" applyFont="1" applyFill="1" applyBorder="1" applyAlignment="1">
      <alignment horizontal="right"/>
    </xf>
    <xf numFmtId="173" fontId="100" fillId="0" borderId="63" xfId="159" applyNumberFormat="1" applyFont="1" applyFill="1" applyBorder="1" applyAlignment="1">
      <alignment horizontal="right"/>
    </xf>
    <xf numFmtId="173" fontId="100" fillId="0" borderId="58" xfId="159" applyNumberFormat="1" applyFont="1" applyFill="1" applyBorder="1" applyAlignment="1">
      <alignment horizontal="right"/>
    </xf>
    <xf numFmtId="173" fontId="95" fillId="0" borderId="58" xfId="159" applyNumberFormat="1" applyFont="1" applyFill="1" applyBorder="1" applyAlignment="1">
      <alignment horizontal="left" vertical="center" wrapText="1"/>
    </xf>
    <xf numFmtId="173" fontId="95" fillId="0" borderId="58" xfId="159" applyNumberFormat="1" applyFont="1" applyFill="1" applyBorder="1" applyAlignment="1">
      <alignment horizontal="right" vertical="center" wrapText="1"/>
    </xf>
    <xf numFmtId="173" fontId="100" fillId="0" borderId="58" xfId="159" applyNumberFormat="1" applyFont="1" applyFill="1" applyBorder="1" applyAlignment="1">
      <alignment horizontal="center" vertical="center"/>
    </xf>
    <xf numFmtId="173" fontId="106" fillId="0" borderId="58" xfId="0" applyNumberFormat="1" applyFont="1" applyFill="1" applyBorder="1" applyAlignment="1">
      <alignment vertical="center" wrapText="1"/>
    </xf>
    <xf numFmtId="49" fontId="100" fillId="68" borderId="72" xfId="0" applyNumberFormat="1" applyFont="1" applyFill="1" applyBorder="1" applyAlignment="1">
      <alignment horizontal="center" vertical="center"/>
    </xf>
    <xf numFmtId="0" fontId="95" fillId="68" borderId="58" xfId="159" applyFont="1" applyFill="1" applyBorder="1" applyAlignment="1">
      <alignment horizontal="left" vertical="center" wrapText="1" indent="5"/>
    </xf>
    <xf numFmtId="0" fontId="100" fillId="68" borderId="73" xfId="159" applyFont="1" applyFill="1" applyBorder="1" applyAlignment="1">
      <alignment horizontal="center" vertical="center"/>
    </xf>
    <xf numFmtId="173" fontId="100" fillId="68" borderId="58" xfId="159" applyNumberFormat="1" applyFont="1" applyFill="1" applyBorder="1" applyAlignment="1">
      <alignment horizontal="right" vertical="center"/>
    </xf>
    <xf numFmtId="0" fontId="95" fillId="68" borderId="58" xfId="0" applyFont="1" applyFill="1" applyBorder="1" applyAlignment="1">
      <alignment horizontal="left" vertical="center" wrapText="1" indent="7"/>
    </xf>
    <xf numFmtId="173" fontId="95" fillId="68" borderId="58" xfId="159" applyNumberFormat="1" applyFont="1" applyFill="1" applyBorder="1" applyAlignment="1">
      <alignment horizontal="right" vertical="center" wrapText="1"/>
    </xf>
    <xf numFmtId="0" fontId="95" fillId="0" borderId="58" xfId="159" applyFont="1" applyFill="1" applyBorder="1" applyAlignment="1">
      <alignment horizontal="left" vertical="center" indent="7"/>
    </xf>
    <xf numFmtId="0" fontId="95" fillId="68" borderId="58" xfId="0" applyFont="1" applyFill="1" applyBorder="1" applyAlignment="1">
      <alignment horizontal="left" vertical="center" wrapText="1" indent="1"/>
    </xf>
    <xf numFmtId="173" fontId="100" fillId="68" borderId="58" xfId="159" applyNumberFormat="1" applyFont="1" applyFill="1" applyBorder="1" applyAlignment="1">
      <alignment horizontal="right"/>
    </xf>
    <xf numFmtId="0" fontId="95" fillId="67" borderId="58" xfId="159" applyFont="1" applyFill="1" applyBorder="1" applyAlignment="1">
      <alignment horizontal="left" vertical="center" wrapText="1" indent="5"/>
    </xf>
    <xf numFmtId="173" fontId="100" fillId="67" borderId="58" xfId="0" applyNumberFormat="1" applyFont="1" applyFill="1" applyBorder="1" applyAlignment="1">
      <alignment horizontal="right" vertical="center" wrapText="1"/>
    </xf>
    <xf numFmtId="173" fontId="100" fillId="67" borderId="58" xfId="0" applyNumberFormat="1" applyFont="1" applyFill="1" applyBorder="1" applyAlignment="1">
      <alignment vertical="center" wrapText="1"/>
    </xf>
    <xf numFmtId="173" fontId="95" fillId="67" borderId="58" xfId="159" applyNumberFormat="1" applyFont="1" applyFill="1" applyBorder="1" applyAlignment="1">
      <alignment horizontal="right" vertical="center" wrapText="1"/>
    </xf>
    <xf numFmtId="173" fontId="100" fillId="67" borderId="58" xfId="159" applyNumberFormat="1" applyFont="1" applyFill="1" applyBorder="1" applyAlignment="1">
      <alignment horizontal="right"/>
    </xf>
    <xf numFmtId="173" fontId="100" fillId="67" borderId="58" xfId="159" applyNumberFormat="1" applyFont="1" applyFill="1" applyBorder="1" applyAlignment="1">
      <alignment horizontal="right" vertical="center"/>
    </xf>
    <xf numFmtId="173" fontId="106" fillId="0" borderId="58" xfId="0" applyNumberFormat="1" applyFont="1" applyFill="1" applyBorder="1" applyAlignment="1">
      <alignment vertical="center"/>
    </xf>
    <xf numFmtId="173" fontId="100" fillId="67" borderId="58" xfId="0" applyNumberFormat="1" applyFont="1" applyFill="1" applyBorder="1" applyAlignment="1">
      <alignment vertical="center"/>
    </xf>
    <xf numFmtId="173" fontId="100" fillId="67" borderId="58" xfId="0" applyNumberFormat="1" applyFont="1" applyFill="1" applyBorder="1" applyAlignment="1">
      <alignment horizontal="right" vertical="center"/>
    </xf>
    <xf numFmtId="173" fontId="106" fillId="0" borderId="80" xfId="0" applyNumberFormat="1" applyFont="1" applyFill="1" applyBorder="1" applyAlignment="1">
      <alignment vertical="center"/>
    </xf>
    <xf numFmtId="49" fontId="100" fillId="0" borderId="72" xfId="159" applyNumberFormat="1" applyFont="1" applyFill="1" applyBorder="1" applyAlignment="1">
      <alignment horizontal="center" vertical="center"/>
    </xf>
    <xf numFmtId="173" fontId="95" fillId="0" borderId="58" xfId="159" applyNumberFormat="1" applyFont="1" applyFill="1" applyBorder="1"/>
    <xf numFmtId="173" fontId="95" fillId="0" borderId="58" xfId="159" applyNumberFormat="1" applyFont="1" applyFill="1" applyBorder="1" applyAlignment="1">
      <alignment horizontal="center" vertical="center" wrapText="1"/>
    </xf>
    <xf numFmtId="0" fontId="100" fillId="0" borderId="73" xfId="159" applyFont="1" applyFill="1" applyBorder="1" applyAlignment="1">
      <alignment horizontal="center" vertical="center" wrapText="1"/>
    </xf>
    <xf numFmtId="49" fontId="100" fillId="0" borderId="79" xfId="159" applyNumberFormat="1" applyFont="1" applyFill="1" applyBorder="1" applyAlignment="1">
      <alignment horizontal="center" vertical="center"/>
    </xf>
    <xf numFmtId="0" fontId="95" fillId="0" borderId="80" xfId="159" applyFont="1" applyFill="1" applyBorder="1" applyAlignment="1">
      <alignment horizontal="left" vertical="center" wrapText="1" indent="3"/>
    </xf>
    <xf numFmtId="173" fontId="95" fillId="0" borderId="80" xfId="159" applyNumberFormat="1" applyFont="1" applyFill="1" applyBorder="1"/>
    <xf numFmtId="173" fontId="100" fillId="0" borderId="83" xfId="159" applyNumberFormat="1" applyFont="1" applyFill="1" applyBorder="1" applyAlignment="1">
      <alignment horizontal="center" vertical="center"/>
    </xf>
    <xf numFmtId="173" fontId="95" fillId="0" borderId="80" xfId="159" applyNumberFormat="1" applyFont="1" applyFill="1" applyBorder="1" applyAlignment="1">
      <alignment horizontal="center" vertical="center" wrapText="1"/>
    </xf>
    <xf numFmtId="49" fontId="100" fillId="0" borderId="0" xfId="159" applyNumberFormat="1" applyFont="1" applyFill="1" applyAlignment="1">
      <alignment horizontal="center" vertical="center"/>
    </xf>
    <xf numFmtId="0" fontId="95" fillId="0" borderId="0" xfId="159" applyFont="1" applyFill="1" applyAlignment="1">
      <alignment wrapText="1"/>
    </xf>
    <xf numFmtId="0" fontId="100" fillId="0" borderId="0" xfId="159" applyFont="1" applyFill="1" applyAlignment="1">
      <alignment horizontal="center" vertical="center" wrapText="1"/>
    </xf>
    <xf numFmtId="0" fontId="95" fillId="0" borderId="0" xfId="159" applyFont="1" applyFill="1" applyAlignment="1">
      <alignment horizontal="center" vertical="center" wrapText="1"/>
    </xf>
    <xf numFmtId="49" fontId="96" fillId="0" borderId="75" xfId="159" applyNumberFormat="1" applyFont="1" applyFill="1" applyBorder="1" applyAlignment="1">
      <alignment horizontal="left" vertical="center"/>
    </xf>
    <xf numFmtId="0" fontId="87" fillId="68" borderId="80" xfId="0" applyFont="1" applyFill="1" applyBorder="1" applyAlignment="1">
      <alignment horizontal="right"/>
    </xf>
    <xf numFmtId="2" fontId="87" fillId="68" borderId="80" xfId="0" applyNumberFormat="1" applyFont="1" applyFill="1" applyBorder="1" applyAlignment="1">
      <alignment horizontal="right"/>
    </xf>
    <xf numFmtId="4" fontId="87" fillId="0" borderId="58" xfId="0" applyNumberFormat="1" applyFont="1" applyFill="1" applyBorder="1" applyAlignment="1">
      <alignment horizontal="right"/>
    </xf>
    <xf numFmtId="4" fontId="100" fillId="0" borderId="58" xfId="3229" applyNumberFormat="1" applyFont="1" applyFill="1" applyBorder="1" applyAlignment="1">
      <alignment vertical="center"/>
    </xf>
    <xf numFmtId="4" fontId="87" fillId="0" borderId="58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right" wrapText="1"/>
    </xf>
    <xf numFmtId="0" fontId="59" fillId="32" borderId="35" xfId="369" applyFont="1" applyFill="1" applyBorder="1" applyAlignment="1">
      <alignment horizontal="left" wrapText="1"/>
    </xf>
    <xf numFmtId="0" fontId="59" fillId="32" borderId="35" xfId="158" applyFont="1" applyFill="1" applyBorder="1" applyAlignment="1">
      <alignment horizontal="left" wrapText="1"/>
    </xf>
    <xf numFmtId="0" fontId="44" fillId="32" borderId="16" xfId="0" applyFont="1" applyFill="1" applyBorder="1" applyAlignment="1">
      <alignment horizontal="left" wrapText="1"/>
    </xf>
    <xf numFmtId="0" fontId="59" fillId="32" borderId="35" xfId="158" applyFont="1" applyFill="1" applyBorder="1" applyAlignment="1">
      <alignment horizontal="left" vertical="center" wrapText="1"/>
    </xf>
    <xf numFmtId="0" fontId="44" fillId="32" borderId="35" xfId="158" applyFont="1" applyFill="1" applyBorder="1" applyAlignment="1">
      <alignment horizontal="left" vertical="center" wrapText="1"/>
    </xf>
    <xf numFmtId="49" fontId="44" fillId="32" borderId="35" xfId="2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09" fillId="32" borderId="35" xfId="158" applyFont="1" applyFill="1" applyBorder="1" applyAlignment="1">
      <alignment horizontal="left" wrapText="1"/>
    </xf>
    <xf numFmtId="0" fontId="44" fillId="32" borderId="16" xfId="0" applyFont="1" applyFill="1" applyBorder="1" applyAlignment="1">
      <alignment horizontal="left" vertical="center" wrapText="1"/>
    </xf>
    <xf numFmtId="173" fontId="44" fillId="32" borderId="35" xfId="2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3" fontId="59" fillId="32" borderId="16" xfId="0" applyNumberFormat="1" applyFont="1" applyFill="1" applyBorder="1" applyAlignment="1">
      <alignment vertical="center" wrapText="1"/>
    </xf>
    <xf numFmtId="173" fontId="59" fillId="32" borderId="35" xfId="369" applyNumberFormat="1" applyFont="1" applyFill="1" applyBorder="1" applyAlignment="1">
      <alignment vertical="center" wrapText="1"/>
    </xf>
    <xf numFmtId="173" fontId="112" fillId="32" borderId="16" xfId="0" applyNumberFormat="1" applyFont="1" applyFill="1" applyBorder="1" applyAlignment="1">
      <alignment horizontal="right" vertical="center" wrapText="1"/>
    </xf>
    <xf numFmtId="173" fontId="1" fillId="32" borderId="16" xfId="0" applyNumberFormat="1" applyFont="1" applyFill="1" applyBorder="1" applyAlignment="1">
      <alignment horizontal="right" vertical="center" wrapText="1"/>
    </xf>
    <xf numFmtId="173" fontId="14" fillId="32" borderId="16" xfId="0" applyNumberFormat="1" applyFont="1" applyFill="1" applyBorder="1" applyAlignment="1">
      <alignment horizontal="right" vertical="center" wrapText="1"/>
    </xf>
    <xf numFmtId="173" fontId="59" fillId="32" borderId="35" xfId="369" applyNumberFormat="1" applyFont="1" applyFill="1" applyBorder="1" applyAlignment="1">
      <alignment horizontal="right" vertical="center" wrapText="1"/>
    </xf>
    <xf numFmtId="0" fontId="44" fillId="0" borderId="35" xfId="158" applyFont="1" applyFill="1" applyBorder="1" applyAlignment="1">
      <alignment horizontal="left" vertical="center" wrapText="1"/>
    </xf>
    <xf numFmtId="49" fontId="44" fillId="0" borderId="35" xfId="2" applyNumberFormat="1" applyFont="1" applyFill="1" applyBorder="1" applyAlignment="1">
      <alignment horizontal="left" vertical="center" wrapText="1"/>
    </xf>
    <xf numFmtId="173" fontId="59" fillId="0" borderId="35" xfId="2" applyNumberFormat="1" applyFont="1" applyFill="1" applyBorder="1" applyAlignment="1">
      <alignment horizontal="right" vertical="center"/>
    </xf>
    <xf numFmtId="3" fontId="44" fillId="64" borderId="35" xfId="458" applyNumberFormat="1" applyFont="1" applyFill="1" applyBorder="1" applyAlignment="1">
      <alignment horizontal="left" vertical="center" wrapText="1"/>
    </xf>
    <xf numFmtId="174" fontId="59" fillId="0" borderId="35" xfId="2" applyNumberFormat="1" applyFont="1" applyFill="1" applyBorder="1" applyAlignment="1">
      <alignment horizontal="right" vertical="center" wrapText="1"/>
    </xf>
    <xf numFmtId="173" fontId="44" fillId="0" borderId="16" xfId="2" applyNumberFormat="1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horizontal="right" vertical="center" wrapText="1"/>
    </xf>
    <xf numFmtId="173" fontId="44" fillId="32" borderId="16" xfId="2" applyNumberFormat="1" applyFont="1" applyFill="1" applyBorder="1" applyAlignment="1">
      <alignment horizontal="right" vertical="center" wrapText="1"/>
    </xf>
    <xf numFmtId="173" fontId="59" fillId="32" borderId="16" xfId="2" applyNumberFormat="1" applyFont="1" applyFill="1" applyBorder="1" applyAlignment="1">
      <alignment horizontal="right" vertical="center" wrapText="1"/>
    </xf>
    <xf numFmtId="173" fontId="44" fillId="32" borderId="16" xfId="0" applyNumberFormat="1" applyFont="1" applyFill="1" applyBorder="1" applyAlignment="1">
      <alignment horizontal="right" vertical="center" wrapText="1"/>
    </xf>
    <xf numFmtId="173" fontId="44" fillId="32" borderId="16" xfId="2" applyNumberFormat="1" applyFont="1" applyFill="1" applyBorder="1" applyAlignment="1">
      <alignment horizontal="right" vertical="center"/>
    </xf>
    <xf numFmtId="173" fontId="59" fillId="32" borderId="16" xfId="369" applyNumberFormat="1" applyFont="1" applyFill="1" applyBorder="1" applyAlignment="1">
      <alignment horizontal="right" vertical="center" wrapText="1"/>
    </xf>
    <xf numFmtId="173" fontId="44" fillId="32" borderId="16" xfId="369" applyNumberFormat="1" applyFont="1" applyFill="1" applyBorder="1" applyAlignment="1">
      <alignment horizontal="right" vertical="center" wrapText="1"/>
    </xf>
    <xf numFmtId="0" fontId="44" fillId="32" borderId="35" xfId="369" applyFont="1" applyFill="1" applyBorder="1" applyAlignment="1">
      <alignment horizontal="right" wrapText="1"/>
    </xf>
    <xf numFmtId="1" fontId="79" fillId="32" borderId="16" xfId="0" applyNumberFormat="1" applyFont="1" applyFill="1" applyBorder="1" applyAlignment="1">
      <alignment horizontal="right" vertical="center" wrapText="1"/>
    </xf>
    <xf numFmtId="4" fontId="87" fillId="0" borderId="0" xfId="0" applyNumberFormat="1" applyFont="1"/>
    <xf numFmtId="4" fontId="87" fillId="0" borderId="0" xfId="0" applyNumberFormat="1" applyFont="1" applyBorder="1"/>
    <xf numFmtId="4" fontId="95" fillId="0" borderId="0" xfId="159" applyNumberFormat="1" applyFont="1" applyFill="1"/>
    <xf numFmtId="4" fontId="95" fillId="0" borderId="0" xfId="159" applyNumberFormat="1" applyFont="1" applyFill="1" applyAlignment="1">
      <alignment vertical="center"/>
    </xf>
    <xf numFmtId="2" fontId="95" fillId="0" borderId="0" xfId="159" applyNumberFormat="1" applyFont="1" applyFill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0" fillId="0" borderId="0" xfId="0"/>
    <xf numFmtId="173" fontId="44" fillId="32" borderId="35" xfId="369" applyNumberFormat="1" applyFont="1" applyFill="1" applyBorder="1" applyAlignment="1">
      <alignment horizontal="right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173" fontId="59" fillId="32" borderId="35" xfId="2" applyNumberFormat="1" applyFont="1" applyFill="1" applyBorder="1" applyAlignment="1">
      <alignment vertical="center"/>
    </xf>
    <xf numFmtId="173" fontId="59" fillId="32" borderId="16" xfId="2" applyNumberFormat="1" applyFont="1" applyFill="1" applyBorder="1" applyAlignment="1">
      <alignment horizontal="right" vertical="center"/>
    </xf>
    <xf numFmtId="0" fontId="59" fillId="32" borderId="16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4" fontId="1" fillId="32" borderId="16" xfId="0" applyNumberFormat="1" applyFont="1" applyFill="1" applyBorder="1" applyAlignment="1">
      <alignment horizontal="right" vertical="center" wrapText="1"/>
    </xf>
    <xf numFmtId="0" fontId="76" fillId="32" borderId="0" xfId="0" applyFont="1" applyFill="1" applyAlignment="1">
      <alignment vertical="center"/>
    </xf>
    <xf numFmtId="3" fontId="44" fillId="32" borderId="16" xfId="0" applyNumberFormat="1" applyFont="1" applyFill="1" applyBorder="1" applyAlignment="1">
      <alignment vertical="center" wrapText="1"/>
    </xf>
    <xf numFmtId="0" fontId="111" fillId="32" borderId="0" xfId="0" applyFont="1" applyFill="1"/>
    <xf numFmtId="0" fontId="112" fillId="32" borderId="16" xfId="0" applyFont="1" applyFill="1" applyBorder="1" applyAlignment="1">
      <alignment horizontal="center" vertical="center" wrapText="1"/>
    </xf>
    <xf numFmtId="0" fontId="84" fillId="32" borderId="16" xfId="0" applyFont="1" applyFill="1" applyBorder="1" applyAlignment="1">
      <alignment horizontal="center" vertical="center" wrapText="1"/>
    </xf>
    <xf numFmtId="0" fontId="44" fillId="32" borderId="35" xfId="369" applyFont="1" applyFill="1" applyBorder="1" applyAlignment="1">
      <alignment horizontal="right" vertical="center" wrapText="1"/>
    </xf>
    <xf numFmtId="1" fontId="1" fillId="32" borderId="16" xfId="0" applyNumberFormat="1" applyFont="1" applyFill="1" applyBorder="1" applyAlignment="1">
      <alignment horizontal="right" vertical="center" wrapText="1"/>
    </xf>
    <xf numFmtId="0" fontId="14" fillId="32" borderId="16" xfId="0" applyFont="1" applyFill="1" applyBorder="1" applyAlignment="1">
      <alignment horizontal="right" vertical="center" wrapText="1"/>
    </xf>
    <xf numFmtId="173" fontId="14" fillId="32" borderId="35" xfId="369" applyNumberFormat="1" applyFont="1" applyFill="1" applyBorder="1" applyAlignment="1">
      <alignment horizontal="right" vertical="center" wrapText="1"/>
    </xf>
    <xf numFmtId="0" fontId="59" fillId="32" borderId="35" xfId="369" applyFont="1" applyFill="1" applyBorder="1" applyAlignment="1">
      <alignment horizontal="right" wrapText="1"/>
    </xf>
    <xf numFmtId="1" fontId="14" fillId="32" borderId="16" xfId="0" applyNumberFormat="1" applyFont="1" applyFill="1" applyBorder="1" applyAlignment="1">
      <alignment horizontal="right" vertical="center" wrapText="1"/>
    </xf>
    <xf numFmtId="0" fontId="80" fillId="32" borderId="16" xfId="0" applyFont="1" applyFill="1" applyBorder="1" applyAlignment="1">
      <alignment horizontal="center" vertical="center" wrapText="1"/>
    </xf>
    <xf numFmtId="174" fontId="107" fillId="32" borderId="86" xfId="369" applyNumberFormat="1" applyFont="1" applyFill="1" applyBorder="1" applyAlignment="1">
      <alignment horizontal="left" wrapText="1"/>
    </xf>
    <xf numFmtId="173" fontId="44" fillId="32" borderId="58" xfId="842" applyNumberFormat="1" applyFont="1" applyFill="1" applyBorder="1" applyAlignment="1">
      <alignment horizontal="right" vertical="center"/>
    </xf>
    <xf numFmtId="0" fontId="11" fillId="32" borderId="0" xfId="0" applyFont="1" applyFill="1"/>
    <xf numFmtId="1" fontId="80" fillId="32" borderId="16" xfId="0" applyNumberFormat="1" applyFont="1" applyFill="1" applyBorder="1" applyAlignment="1">
      <alignment horizontal="right" vertical="center" wrapText="1"/>
    </xf>
    <xf numFmtId="173" fontId="1" fillId="32" borderId="35" xfId="2" applyNumberFormat="1" applyFont="1" applyFill="1" applyBorder="1" applyAlignment="1">
      <alignment horizontal="right" vertical="center" wrapText="1"/>
    </xf>
    <xf numFmtId="0" fontId="59" fillId="32" borderId="35" xfId="369" applyFont="1" applyFill="1" applyBorder="1" applyAlignment="1">
      <alignment horizontal="left" vertical="center" wrapText="1"/>
    </xf>
    <xf numFmtId="0" fontId="12" fillId="32" borderId="0" xfId="0" applyFont="1" applyFill="1"/>
    <xf numFmtId="174" fontId="44" fillId="64" borderId="35" xfId="369" applyNumberFormat="1" applyFont="1" applyFill="1" applyBorder="1" applyAlignment="1">
      <alignment vertical="center" wrapText="1"/>
    </xf>
    <xf numFmtId="0" fontId="110" fillId="32" borderId="16" xfId="0" applyFont="1" applyFill="1" applyBorder="1" applyAlignment="1">
      <alignment horizontal="center" vertical="center" wrapText="1"/>
    </xf>
    <xf numFmtId="173" fontId="14" fillId="32" borderId="16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left" wrapText="1"/>
    </xf>
    <xf numFmtId="0" fontId="14" fillId="32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  <xf numFmtId="173" fontId="1" fillId="32" borderId="35" xfId="369" applyNumberFormat="1" applyFont="1" applyFill="1" applyBorder="1" applyAlignment="1">
      <alignment horizontal="right" vertical="center" wrapText="1"/>
    </xf>
    <xf numFmtId="3" fontId="14" fillId="32" borderId="16" xfId="0" applyNumberFormat="1" applyFont="1" applyFill="1" applyBorder="1" applyAlignment="1">
      <alignment horizontal="right" vertical="center" wrapText="1"/>
    </xf>
    <xf numFmtId="0" fontId="14" fillId="32" borderId="16" xfId="0" applyFont="1" applyFill="1" applyBorder="1" applyAlignment="1">
      <alignment vertical="center" wrapText="1"/>
    </xf>
    <xf numFmtId="174" fontId="14" fillId="32" borderId="16" xfId="0" applyNumberFormat="1" applyFont="1" applyFill="1" applyBorder="1" applyAlignment="1">
      <alignment horizontal="right" vertical="center" wrapText="1"/>
    </xf>
    <xf numFmtId="0" fontId="84" fillId="32" borderId="16" xfId="0" applyFont="1" applyFill="1" applyBorder="1" applyAlignment="1">
      <alignment vertical="center" wrapText="1"/>
    </xf>
    <xf numFmtId="0" fontId="112" fillId="32" borderId="0" xfId="0" applyFont="1" applyFill="1" applyAlignment="1">
      <alignment vertical="center"/>
    </xf>
    <xf numFmtId="0" fontId="109" fillId="32" borderId="35" xfId="2" applyFont="1" applyFill="1" applyBorder="1" applyAlignment="1">
      <alignment horizontal="right" vertical="center"/>
    </xf>
    <xf numFmtId="0" fontId="1" fillId="32" borderId="35" xfId="369" applyFont="1" applyFill="1" applyBorder="1" applyAlignment="1">
      <alignment horizontal="right" wrapText="1"/>
    </xf>
    <xf numFmtId="0" fontId="108" fillId="32" borderId="0" xfId="0" applyFont="1" applyFill="1"/>
    <xf numFmtId="0" fontId="79" fillId="32" borderId="16" xfId="0" applyFont="1" applyFill="1" applyBorder="1" applyAlignment="1">
      <alignment horizontal="center" vertical="center" wrapText="1"/>
    </xf>
    <xf numFmtId="173" fontId="59" fillId="32" borderId="35" xfId="2" applyNumberFormat="1" applyFont="1" applyFill="1" applyBorder="1" applyAlignment="1">
      <alignment horizontal="right" vertical="center" wrapText="1"/>
    </xf>
    <xf numFmtId="0" fontId="1" fillId="32" borderId="0" xfId="0" applyFont="1" applyFill="1"/>
    <xf numFmtId="0" fontId="83" fillId="32" borderId="0" xfId="0" applyFont="1" applyFill="1" applyAlignment="1">
      <alignment vertical="center"/>
    </xf>
    <xf numFmtId="0" fontId="1" fillId="32" borderId="0" xfId="0" applyFont="1" applyFill="1" applyAlignment="1">
      <alignment horizontal="left"/>
    </xf>
    <xf numFmtId="0" fontId="44" fillId="0" borderId="35" xfId="2" applyFont="1" applyFill="1" applyBorder="1" applyAlignment="1">
      <alignment horizontal="left" vertical="center"/>
    </xf>
    <xf numFmtId="173" fontId="1" fillId="32" borderId="16" xfId="0" applyNumberFormat="1" applyFont="1" applyFill="1" applyBorder="1" applyAlignment="1">
      <alignment horizontal="center" vertical="center" wrapText="1"/>
    </xf>
    <xf numFmtId="173" fontId="1" fillId="0" borderId="16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49" fontId="100" fillId="0" borderId="0" xfId="159" applyNumberFormat="1" applyFont="1" applyFill="1" applyAlignment="1">
      <alignment horizontal="left" vertical="center"/>
    </xf>
    <xf numFmtId="0" fontId="93" fillId="0" borderId="67" xfId="15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8" xfId="0" applyFont="1" applyBorder="1" applyAlignment="1">
      <alignment horizontal="left" vertical="top" wrapText="1" indent="4"/>
    </xf>
    <xf numFmtId="0" fontId="4" fillId="0" borderId="4" xfId="0" applyFont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 indent="4"/>
    </xf>
    <xf numFmtId="0" fontId="5" fillId="0" borderId="8" xfId="0" applyFont="1" applyBorder="1" applyAlignment="1">
      <alignment horizontal="left" vertical="top" wrapText="1" indent="4"/>
    </xf>
    <xf numFmtId="0" fontId="5" fillId="0" borderId="4" xfId="0" applyFont="1" applyBorder="1" applyAlignment="1">
      <alignment horizontal="left" vertical="top" wrapText="1" indent="4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4"/>
    </xf>
    <xf numFmtId="0" fontId="1" fillId="0" borderId="8" xfId="0" applyFont="1" applyBorder="1" applyAlignment="1">
      <alignment horizontal="left" vertical="top" wrapText="1" indent="4"/>
    </xf>
    <xf numFmtId="0" fontId="1" fillId="0" borderId="4" xfId="0" applyFont="1" applyBorder="1" applyAlignment="1">
      <alignment horizontal="left" vertical="top" wrapText="1" indent="4"/>
    </xf>
    <xf numFmtId="0" fontId="6" fillId="0" borderId="1" xfId="1" applyBorder="1" applyAlignment="1" applyProtection="1">
      <alignment horizontal="center" vertical="top" wrapText="1"/>
    </xf>
    <xf numFmtId="0" fontId="6" fillId="0" borderId="2" xfId="1" applyBorder="1" applyAlignment="1" applyProtection="1">
      <alignment horizontal="center" vertical="top" wrapText="1"/>
    </xf>
    <xf numFmtId="0" fontId="6" fillId="0" borderId="3" xfId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9" fillId="32" borderId="16" xfId="0" applyFont="1" applyFill="1" applyBorder="1" applyAlignment="1">
      <alignment horizontal="left" wrapText="1"/>
    </xf>
    <xf numFmtId="0" fontId="59" fillId="32" borderId="16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2" borderId="16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center"/>
    </xf>
    <xf numFmtId="0" fontId="15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58" fillId="0" borderId="36" xfId="369" applyFont="1" applyFill="1" applyBorder="1" applyAlignment="1">
      <alignment horizontal="center" vertical="center" wrapText="1"/>
    </xf>
    <xf numFmtId="0" fontId="58" fillId="0" borderId="38" xfId="369" applyFont="1" applyFill="1" applyBorder="1" applyAlignment="1">
      <alignment horizontal="center" vertical="center" wrapText="1"/>
    </xf>
    <xf numFmtId="0" fontId="58" fillId="0" borderId="37" xfId="369" applyFont="1" applyFill="1" applyBorder="1" applyAlignment="1">
      <alignment horizontal="center" vertical="center" wrapText="1"/>
    </xf>
    <xf numFmtId="0" fontId="58" fillId="0" borderId="46" xfId="369" applyFont="1" applyFill="1" applyBorder="1" applyAlignment="1">
      <alignment horizontal="center" vertical="center" wrapText="1"/>
    </xf>
    <xf numFmtId="0" fontId="58" fillId="0" borderId="49" xfId="369" applyFont="1" applyFill="1" applyBorder="1" applyAlignment="1">
      <alignment horizontal="center" vertical="center" wrapText="1"/>
    </xf>
    <xf numFmtId="0" fontId="58" fillId="0" borderId="43" xfId="369" applyFont="1" applyFill="1" applyBorder="1" applyAlignment="1">
      <alignment horizontal="center" vertical="center" wrapText="1"/>
    </xf>
    <xf numFmtId="49" fontId="58" fillId="0" borderId="48" xfId="369" applyNumberFormat="1" applyFont="1" applyFill="1" applyBorder="1" applyAlignment="1">
      <alignment horizontal="center" vertical="center" wrapText="1"/>
    </xf>
    <xf numFmtId="49" fontId="58" fillId="0" borderId="45" xfId="369" applyNumberFormat="1" applyFont="1" applyFill="1" applyBorder="1" applyAlignment="1">
      <alignment horizontal="center" vertical="center" wrapText="1"/>
    </xf>
    <xf numFmtId="0" fontId="58" fillId="0" borderId="44" xfId="369" applyFont="1" applyFill="1" applyBorder="1" applyAlignment="1">
      <alignment horizontal="center" vertical="center" wrapText="1"/>
    </xf>
    <xf numFmtId="0" fontId="58" fillId="0" borderId="45" xfId="369" applyFont="1" applyFill="1" applyBorder="1" applyAlignment="1">
      <alignment horizontal="center" vertical="center" wrapText="1"/>
    </xf>
    <xf numFmtId="0" fontId="58" fillId="0" borderId="56" xfId="369" applyFont="1" applyFill="1" applyBorder="1" applyAlignment="1">
      <alignment horizontal="center" vertical="center" wrapText="1"/>
    </xf>
    <xf numFmtId="0" fontId="58" fillId="0" borderId="57" xfId="369" applyFont="1" applyFill="1" applyBorder="1" applyAlignment="1">
      <alignment horizontal="center" vertical="center" wrapText="1"/>
    </xf>
    <xf numFmtId="49" fontId="58" fillId="0" borderId="56" xfId="369" applyNumberFormat="1" applyFont="1" applyFill="1" applyBorder="1" applyAlignment="1">
      <alignment horizontal="center" vertical="center" wrapText="1"/>
    </xf>
    <xf numFmtId="49" fontId="58" fillId="0" borderId="52" xfId="369" applyNumberFormat="1" applyFont="1" applyFill="1" applyBorder="1" applyAlignment="1">
      <alignment horizontal="center" vertical="center" wrapText="1"/>
    </xf>
    <xf numFmtId="0" fontId="59" fillId="0" borderId="55" xfId="369" applyFont="1" applyFill="1" applyBorder="1" applyAlignment="1">
      <alignment horizontal="center" vertical="center" wrapText="1"/>
    </xf>
    <xf numFmtId="0" fontId="59" fillId="0" borderId="19" xfId="369" applyFont="1" applyFill="1" applyBorder="1" applyAlignment="1">
      <alignment horizontal="center" vertical="center" wrapText="1"/>
    </xf>
    <xf numFmtId="0" fontId="59" fillId="0" borderId="17" xfId="369" applyFont="1" applyFill="1" applyBorder="1" applyAlignment="1">
      <alignment horizontal="center" vertical="center" wrapText="1"/>
    </xf>
    <xf numFmtId="0" fontId="59" fillId="0" borderId="18" xfId="369" applyFont="1" applyFill="1" applyBorder="1" applyAlignment="1">
      <alignment horizontal="center" vertical="center" wrapText="1"/>
    </xf>
    <xf numFmtId="0" fontId="58" fillId="0" borderId="47" xfId="369" applyFont="1" applyFill="1" applyBorder="1" applyAlignment="1">
      <alignment horizontal="center" vertical="center" wrapText="1"/>
    </xf>
    <xf numFmtId="49" fontId="58" fillId="0" borderId="51" xfId="369" applyNumberFormat="1" applyFont="1" applyFill="1" applyBorder="1" applyAlignment="1">
      <alignment horizontal="center" vertical="center" wrapText="1"/>
    </xf>
    <xf numFmtId="49" fontId="58" fillId="0" borderId="53" xfId="369" applyNumberFormat="1" applyFont="1" applyFill="1" applyBorder="1" applyAlignment="1">
      <alignment horizontal="center" vertical="center" wrapText="1"/>
    </xf>
    <xf numFmtId="0" fontId="59" fillId="0" borderId="54" xfId="369" applyFont="1" applyFill="1" applyBorder="1" applyAlignment="1">
      <alignment horizontal="center" vertical="center" wrapText="1"/>
    </xf>
    <xf numFmtId="0" fontId="12" fillId="0" borderId="47" xfId="0" applyFont="1" applyBorder="1"/>
    <xf numFmtId="49" fontId="58" fillId="0" borderId="16" xfId="369" applyNumberFormat="1" applyFont="1" applyFill="1" applyBorder="1" applyAlignment="1">
      <alignment horizontal="center" vertical="center" wrapText="1"/>
    </xf>
    <xf numFmtId="0" fontId="12" fillId="0" borderId="16" xfId="0" applyFont="1" applyBorder="1"/>
    <xf numFmtId="0" fontId="58" fillId="0" borderId="17" xfId="369" applyFont="1" applyFill="1" applyBorder="1" applyAlignment="1">
      <alignment horizontal="center" vertical="center" wrapText="1"/>
    </xf>
    <xf numFmtId="0" fontId="58" fillId="0" borderId="19" xfId="369" applyFont="1" applyFill="1" applyBorder="1" applyAlignment="1">
      <alignment horizontal="center" vertical="center" wrapText="1"/>
    </xf>
    <xf numFmtId="0" fontId="58" fillId="0" borderId="16" xfId="369" applyFont="1" applyFill="1" applyBorder="1" applyAlignment="1">
      <alignment horizontal="center" vertical="center" wrapText="1"/>
    </xf>
    <xf numFmtId="0" fontId="14" fillId="0" borderId="19" xfId="0" applyFont="1" applyBorder="1"/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7" fillId="31" borderId="0" xfId="159" applyNumberFormat="1" applyFont="1" applyFill="1" applyBorder="1" applyAlignment="1">
      <alignment vertical="center" wrapText="1"/>
    </xf>
    <xf numFmtId="0" fontId="60" fillId="31" borderId="0" xfId="159" applyNumberFormat="1" applyFont="1" applyFill="1" applyBorder="1" applyAlignment="1">
      <alignment vertical="center" wrapText="1"/>
    </xf>
    <xf numFmtId="0" fontId="60" fillId="31" borderId="0" xfId="2" applyFont="1" applyFill="1" applyBorder="1" applyAlignment="1">
      <alignment horizontal="left" vertical="center" wrapText="1"/>
    </xf>
    <xf numFmtId="0" fontId="60" fillId="31" borderId="0" xfId="159" applyFont="1" applyFill="1" applyBorder="1" applyAlignment="1">
      <alignment horizontal="left" vertical="center" wrapText="1"/>
    </xf>
    <xf numFmtId="0" fontId="44" fillId="31" borderId="0" xfId="2" applyFont="1" applyFill="1" applyAlignment="1">
      <alignment horizontal="right" wrapText="1"/>
    </xf>
    <xf numFmtId="0" fontId="67" fillId="31" borderId="0" xfId="2" applyFont="1" applyFill="1" applyBorder="1" applyAlignment="1">
      <alignment vertical="center" wrapText="1"/>
    </xf>
    <xf numFmtId="0" fontId="61" fillId="31" borderId="0" xfId="162" applyFont="1" applyFill="1" applyBorder="1" applyAlignment="1">
      <alignment horizontal="center" wrapText="1"/>
    </xf>
    <xf numFmtId="0" fontId="59" fillId="31" borderId="0" xfId="2" applyFont="1" applyFill="1" applyBorder="1" applyAlignment="1">
      <alignment horizontal="center" wrapText="1"/>
    </xf>
    <xf numFmtId="0" fontId="64" fillId="31" borderId="0" xfId="159" applyFont="1" applyFill="1" applyBorder="1" applyAlignment="1">
      <alignment horizontal="center" vertical="center" wrapText="1"/>
    </xf>
    <xf numFmtId="0" fontId="56" fillId="31" borderId="0" xfId="149" applyFont="1" applyFill="1" applyBorder="1" applyAlignment="1">
      <alignment horizontal="center" vertical="center"/>
    </xf>
    <xf numFmtId="0" fontId="55" fillId="31" borderId="0" xfId="149" applyFont="1" applyFill="1" applyBorder="1" applyAlignment="1">
      <alignment horizontal="center" vertical="top"/>
    </xf>
    <xf numFmtId="49" fontId="66" fillId="31" borderId="35" xfId="159" applyNumberFormat="1" applyFont="1" applyFill="1" applyBorder="1" applyAlignment="1">
      <alignment horizontal="center" vertical="center" wrapText="1"/>
    </xf>
    <xf numFmtId="0" fontId="66" fillId="31" borderId="35" xfId="159" applyFont="1" applyFill="1" applyBorder="1" applyAlignment="1">
      <alignment horizontal="center" vertical="center" wrapText="1"/>
    </xf>
    <xf numFmtId="0" fontId="58" fillId="31" borderId="35" xfId="159" applyFont="1" applyFill="1" applyBorder="1" applyAlignment="1">
      <alignment horizontal="left" vertical="center" wrapText="1"/>
    </xf>
    <xf numFmtId="0" fontId="69" fillId="31" borderId="0" xfId="149" applyFont="1" applyFill="1" applyBorder="1" applyAlignment="1">
      <alignment horizontal="center" vertical="center"/>
    </xf>
    <xf numFmtId="0" fontId="0" fillId="31" borderId="0" xfId="0" applyFill="1"/>
    <xf numFmtId="0" fontId="65" fillId="31" borderId="0" xfId="159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49" fontId="92" fillId="0" borderId="63" xfId="159" applyNumberFormat="1" applyFont="1" applyFill="1" applyBorder="1" applyAlignment="1">
      <alignment horizontal="center" vertical="center" wrapText="1"/>
    </xf>
    <xf numFmtId="0" fontId="93" fillId="0" borderId="64" xfId="159" applyFont="1" applyFill="1" applyBorder="1" applyAlignment="1">
      <alignment horizontal="center" vertical="center" wrapText="1"/>
    </xf>
    <xf numFmtId="0" fontId="93" fillId="0" borderId="65" xfId="159" applyFont="1" applyFill="1" applyBorder="1" applyAlignment="1">
      <alignment horizontal="center" vertical="center" wrapText="1"/>
    </xf>
    <xf numFmtId="0" fontId="59" fillId="0" borderId="64" xfId="159" applyFont="1" applyFill="1" applyBorder="1" applyAlignment="1">
      <alignment horizontal="center" vertical="center" wrapText="1"/>
    </xf>
    <xf numFmtId="0" fontId="94" fillId="0" borderId="64" xfId="159" applyFont="1" applyFill="1" applyBorder="1" applyAlignment="1">
      <alignment horizontal="center" vertical="center" wrapText="1"/>
    </xf>
    <xf numFmtId="0" fontId="100" fillId="0" borderId="0" xfId="159" applyNumberFormat="1" applyFont="1" applyFill="1" applyAlignment="1">
      <alignment horizontal="left" vertical="top" wrapText="1"/>
    </xf>
    <xf numFmtId="0" fontId="93" fillId="0" borderId="66" xfId="159" applyFont="1" applyFill="1" applyBorder="1" applyAlignment="1">
      <alignment horizontal="center" vertical="center" wrapText="1"/>
    </xf>
    <xf numFmtId="0" fontId="93" fillId="0" borderId="67" xfId="159" applyFont="1" applyFill="1" applyBorder="1" applyAlignment="1">
      <alignment horizontal="center" vertical="center" wrapText="1"/>
    </xf>
    <xf numFmtId="49" fontId="98" fillId="0" borderId="11" xfId="159" applyNumberFormat="1" applyFont="1" applyFill="1" applyBorder="1" applyAlignment="1">
      <alignment horizontal="center" vertical="center"/>
    </xf>
    <xf numFmtId="49" fontId="98" fillId="0" borderId="8" xfId="159" applyNumberFormat="1" applyFont="1" applyFill="1" applyBorder="1" applyAlignment="1">
      <alignment horizontal="center" vertical="center"/>
    </xf>
    <xf numFmtId="0" fontId="103" fillId="0" borderId="14" xfId="159" applyFont="1" applyFill="1" applyBorder="1" applyAlignment="1">
      <alignment horizontal="center" vertical="center" wrapText="1"/>
    </xf>
    <xf numFmtId="0" fontId="103" fillId="0" borderId="0" xfId="159" applyFont="1" applyFill="1" applyBorder="1" applyAlignment="1">
      <alignment horizontal="center" vertical="center" wrapText="1"/>
    </xf>
    <xf numFmtId="49" fontId="104" fillId="0" borderId="63" xfId="159" applyNumberFormat="1" applyFont="1" applyFill="1" applyBorder="1" applyAlignment="1">
      <alignment horizontal="center" vertical="center" wrapText="1"/>
    </xf>
    <xf numFmtId="49" fontId="104" fillId="0" borderId="72" xfId="159" applyNumberFormat="1" applyFont="1" applyFill="1" applyBorder="1" applyAlignment="1">
      <alignment horizontal="center" vertical="center" wrapText="1"/>
    </xf>
    <xf numFmtId="0" fontId="105" fillId="0" borderId="64" xfId="159" applyFont="1" applyFill="1" applyBorder="1" applyAlignment="1">
      <alignment horizontal="center" vertical="center" wrapText="1"/>
    </xf>
    <xf numFmtId="0" fontId="105" fillId="0" borderId="58" xfId="159" applyFont="1" applyFill="1" applyBorder="1" applyAlignment="1">
      <alignment horizontal="center" vertical="center" wrapText="1"/>
    </xf>
    <xf numFmtId="0" fontId="105" fillId="0" borderId="65" xfId="159" applyFont="1" applyFill="1" applyBorder="1" applyAlignment="1">
      <alignment horizontal="center" vertical="center" wrapText="1"/>
    </xf>
    <xf numFmtId="0" fontId="105" fillId="0" borderId="73" xfId="159" applyFont="1" applyFill="1" applyBorder="1" applyAlignment="1">
      <alignment horizontal="center" vertical="center" wrapText="1"/>
    </xf>
    <xf numFmtId="0" fontId="94" fillId="66" borderId="11" xfId="159" applyFont="1" applyFill="1" applyBorder="1" applyAlignment="1">
      <alignment horizontal="left" vertical="center" wrapText="1"/>
    </xf>
    <xf numFmtId="0" fontId="94" fillId="66" borderId="8" xfId="159" applyFont="1" applyFill="1" applyBorder="1" applyAlignment="1">
      <alignment horizontal="left" vertical="center" wrapText="1"/>
    </xf>
    <xf numFmtId="49" fontId="100" fillId="0" borderId="0" xfId="159" applyNumberFormat="1" applyFont="1" applyFill="1" applyAlignment="1">
      <alignment horizontal="left" vertical="center"/>
    </xf>
    <xf numFmtId="0" fontId="94" fillId="0" borderId="65" xfId="159" applyFont="1" applyFill="1" applyBorder="1" applyAlignment="1">
      <alignment horizontal="center" vertical="center" wrapText="1"/>
    </xf>
    <xf numFmtId="49" fontId="92" fillId="0" borderId="112" xfId="159" applyNumberFormat="1" applyFont="1" applyFill="1" applyBorder="1" applyAlignment="1">
      <alignment horizontal="center" vertical="center" wrapText="1"/>
    </xf>
    <xf numFmtId="0" fontId="93" fillId="0" borderId="113" xfId="159" applyFont="1" applyFill="1" applyBorder="1" applyAlignment="1">
      <alignment horizontal="center" vertical="center" wrapText="1"/>
    </xf>
    <xf numFmtId="0" fontId="93" fillId="0" borderId="114" xfId="159" applyFont="1" applyFill="1" applyBorder="1" applyAlignment="1">
      <alignment horizontal="center" vertical="center" wrapText="1"/>
    </xf>
    <xf numFmtId="0" fontId="96" fillId="0" borderId="113" xfId="159" applyFont="1" applyFill="1" applyBorder="1" applyAlignment="1">
      <alignment horizontal="center" vertical="center" wrapText="1"/>
    </xf>
    <xf numFmtId="0" fontId="96" fillId="0" borderId="115" xfId="159" applyFont="1" applyFill="1" applyBorder="1" applyAlignment="1">
      <alignment horizontal="center" vertical="center" wrapText="1"/>
    </xf>
    <xf numFmtId="0" fontId="96" fillId="0" borderId="116" xfId="159" applyFont="1" applyFill="1" applyBorder="1" applyAlignment="1">
      <alignment horizontal="center" vertical="center" wrapText="1"/>
    </xf>
    <xf numFmtId="49" fontId="98" fillId="0" borderId="4" xfId="159" applyNumberFormat="1" applyFont="1" applyFill="1" applyBorder="1" applyAlignment="1">
      <alignment horizontal="center" vertical="center"/>
    </xf>
    <xf numFmtId="4" fontId="99" fillId="66" borderId="4" xfId="0" applyNumberFormat="1" applyFont="1" applyFill="1" applyBorder="1" applyAlignment="1">
      <alignment horizontal="right"/>
    </xf>
    <xf numFmtId="4" fontId="100" fillId="0" borderId="117" xfId="159" applyNumberFormat="1" applyFont="1" applyFill="1" applyBorder="1" applyAlignment="1">
      <alignment horizontal="right"/>
    </xf>
    <xf numFmtId="0" fontId="87" fillId="0" borderId="73" xfId="0" applyFont="1" applyFill="1" applyBorder="1"/>
    <xf numFmtId="4" fontId="100" fillId="0" borderId="118" xfId="159" applyNumberFormat="1" applyFont="1" applyFill="1" applyBorder="1" applyAlignment="1">
      <alignment horizontal="right"/>
    </xf>
    <xf numFmtId="0" fontId="100" fillId="0" borderId="117" xfId="0" applyFont="1" applyFill="1" applyBorder="1" applyAlignment="1">
      <alignment horizontal="center" vertical="center"/>
    </xf>
    <xf numFmtId="2" fontId="100" fillId="67" borderId="117" xfId="0" applyNumberFormat="1" applyFont="1" applyFill="1" applyBorder="1" applyAlignment="1">
      <alignment vertical="center"/>
    </xf>
    <xf numFmtId="4" fontId="100" fillId="67" borderId="73" xfId="3229" applyNumberFormat="1" applyFont="1" applyFill="1" applyBorder="1" applyAlignment="1">
      <alignment horizontal="right" vertical="center"/>
    </xf>
    <xf numFmtId="2" fontId="100" fillId="0" borderId="118" xfId="159" applyNumberFormat="1" applyFont="1" applyFill="1" applyBorder="1" applyAlignment="1"/>
    <xf numFmtId="2" fontId="100" fillId="0" borderId="117" xfId="0" applyNumberFormat="1" applyFont="1" applyFill="1" applyBorder="1" applyAlignment="1">
      <alignment vertical="center"/>
    </xf>
    <xf numFmtId="43" fontId="95" fillId="0" borderId="73" xfId="3229" applyFont="1" applyFill="1" applyBorder="1" applyAlignment="1">
      <alignment horizontal="center" vertical="center"/>
    </xf>
    <xf numFmtId="2" fontId="100" fillId="67" borderId="119" xfId="3229" applyNumberFormat="1" applyFont="1" applyFill="1" applyBorder="1" applyAlignment="1">
      <alignment horizontal="right" vertical="center"/>
    </xf>
    <xf numFmtId="2" fontId="100" fillId="67" borderId="117" xfId="3229" applyNumberFormat="1" applyFont="1" applyFill="1" applyBorder="1" applyAlignment="1">
      <alignment horizontal="right" vertical="center"/>
    </xf>
    <xf numFmtId="4" fontId="100" fillId="67" borderId="118" xfId="159" applyNumberFormat="1" applyFont="1" applyFill="1" applyBorder="1" applyAlignment="1">
      <alignment horizontal="right"/>
    </xf>
    <xf numFmtId="0" fontId="100" fillId="67" borderId="117" xfId="0" applyFont="1" applyFill="1" applyBorder="1" applyAlignment="1">
      <alignment horizontal="center" vertical="center"/>
    </xf>
    <xf numFmtId="4" fontId="100" fillId="0" borderId="73" xfId="159" applyNumberFormat="1" applyFont="1" applyFill="1" applyBorder="1" applyAlignment="1">
      <alignment horizontal="right"/>
    </xf>
    <xf numFmtId="4" fontId="100" fillId="0" borderId="120" xfId="159" applyNumberFormat="1" applyFont="1" applyFill="1" applyBorder="1" applyAlignment="1">
      <alignment horizontal="right"/>
    </xf>
    <xf numFmtId="0" fontId="100" fillId="0" borderId="118" xfId="159" applyFont="1" applyFill="1" applyBorder="1" applyAlignment="1">
      <alignment horizontal="center" vertical="center"/>
    </xf>
    <xf numFmtId="49" fontId="100" fillId="0" borderId="112" xfId="0" applyNumberFormat="1" applyFont="1" applyFill="1" applyBorder="1" applyAlignment="1">
      <alignment horizontal="center" vertical="center"/>
    </xf>
    <xf numFmtId="0" fontId="95" fillId="0" borderId="113" xfId="159" applyFont="1" applyFill="1" applyBorder="1" applyAlignment="1">
      <alignment horizontal="left" vertical="center" indent="1"/>
    </xf>
    <xf numFmtId="0" fontId="100" fillId="0" borderId="114" xfId="159" applyFont="1" applyFill="1" applyBorder="1" applyAlignment="1">
      <alignment horizontal="center" vertical="center"/>
    </xf>
    <xf numFmtId="4" fontId="87" fillId="0" borderId="113" xfId="0" applyNumberFormat="1" applyFont="1" applyFill="1" applyBorder="1" applyAlignment="1"/>
    <xf numFmtId="0" fontId="100" fillId="67" borderId="121" xfId="159" applyFont="1" applyFill="1" applyBorder="1" applyAlignment="1">
      <alignment horizontal="center" vertical="center"/>
    </xf>
    <xf numFmtId="0" fontId="87" fillId="67" borderId="113" xfId="0" applyFont="1" applyFill="1" applyBorder="1"/>
    <xf numFmtId="0" fontId="87" fillId="67" borderId="114" xfId="0" applyFont="1" applyFill="1" applyBorder="1"/>
    <xf numFmtId="0" fontId="87" fillId="0" borderId="77" xfId="0" applyFont="1" applyFill="1" applyBorder="1"/>
    <xf numFmtId="4" fontId="100" fillId="0" borderId="119" xfId="159" applyNumberFormat="1" applyFont="1" applyFill="1" applyBorder="1" applyAlignment="1"/>
    <xf numFmtId="4" fontId="87" fillId="0" borderId="119" xfId="0" applyNumberFormat="1" applyFont="1" applyFill="1" applyBorder="1" applyAlignment="1"/>
    <xf numFmtId="178" fontId="100" fillId="0" borderId="118" xfId="159" applyNumberFormat="1" applyFont="1" applyFill="1" applyBorder="1" applyAlignment="1">
      <alignment horizontal="center" vertical="center"/>
    </xf>
    <xf numFmtId="0" fontId="95" fillId="0" borderId="113" xfId="159" applyFont="1" applyFill="1" applyBorder="1" applyAlignment="1">
      <alignment horizontal="left" vertical="center" indent="3"/>
    </xf>
    <xf numFmtId="4" fontId="87" fillId="0" borderId="122" xfId="0" applyNumberFormat="1" applyFont="1" applyFill="1" applyBorder="1" applyAlignment="1"/>
    <xf numFmtId="0" fontId="100" fillId="67" borderId="121" xfId="159" applyFont="1" applyFill="1" applyBorder="1" applyAlignment="1">
      <alignment horizontal="right" vertical="center"/>
    </xf>
    <xf numFmtId="178" fontId="100" fillId="67" borderId="118" xfId="159" applyNumberFormat="1" applyFont="1" applyFill="1" applyBorder="1" applyAlignment="1">
      <alignment horizontal="right" vertical="center"/>
    </xf>
    <xf numFmtId="2" fontId="100" fillId="67" borderId="121" xfId="159" applyNumberFormat="1" applyFont="1" applyFill="1" applyBorder="1" applyAlignment="1">
      <alignment horizontal="right" vertical="center"/>
    </xf>
    <xf numFmtId="2" fontId="87" fillId="67" borderId="113" xfId="0" applyNumberFormat="1" applyFont="1" applyFill="1" applyBorder="1"/>
    <xf numFmtId="2" fontId="87" fillId="67" borderId="113" xfId="0" applyNumberFormat="1" applyFont="1" applyFill="1" applyBorder="1" applyAlignment="1">
      <alignment horizontal="right"/>
    </xf>
    <xf numFmtId="174" fontId="87" fillId="67" borderId="113" xfId="0" applyNumberFormat="1" applyFont="1" applyFill="1" applyBorder="1"/>
    <xf numFmtId="4" fontId="87" fillId="0" borderId="73" xfId="0" applyNumberFormat="1" applyFont="1" applyFill="1" applyBorder="1"/>
    <xf numFmtId="2" fontId="100" fillId="0" borderId="118" xfId="159" applyNumberFormat="1" applyFont="1" applyFill="1" applyBorder="1" applyAlignment="1">
      <alignment horizontal="center" vertical="center"/>
    </xf>
    <xf numFmtId="2" fontId="87" fillId="0" borderId="113" xfId="0" applyNumberFormat="1" applyFont="1" applyFill="1" applyBorder="1"/>
    <xf numFmtId="4" fontId="100" fillId="67" borderId="73" xfId="159" applyNumberFormat="1" applyFont="1" applyFill="1" applyBorder="1" applyAlignment="1">
      <alignment horizontal="right"/>
    </xf>
    <xf numFmtId="0" fontId="100" fillId="67" borderId="118" xfId="159" applyFont="1" applyFill="1" applyBorder="1" applyAlignment="1">
      <alignment horizontal="center" vertical="center"/>
    </xf>
    <xf numFmtId="0" fontId="87" fillId="67" borderId="73" xfId="0" applyFont="1" applyFill="1" applyBorder="1"/>
    <xf numFmtId="0" fontId="100" fillId="67" borderId="118" xfId="159" applyFont="1" applyFill="1" applyBorder="1" applyAlignment="1">
      <alignment horizontal="right" vertical="center"/>
    </xf>
    <xf numFmtId="2" fontId="87" fillId="67" borderId="73" xfId="0" applyNumberFormat="1" applyFont="1" applyFill="1" applyBorder="1"/>
    <xf numFmtId="2" fontId="100" fillId="0" borderId="118" xfId="159" applyNumberFormat="1" applyFont="1" applyFill="1" applyBorder="1" applyAlignment="1">
      <alignment horizontal="right"/>
    </xf>
    <xf numFmtId="2" fontId="87" fillId="0" borderId="73" xfId="0" applyNumberFormat="1" applyFont="1" applyFill="1" applyBorder="1"/>
    <xf numFmtId="0" fontId="100" fillId="0" borderId="118" xfId="159" applyFont="1" applyFill="1" applyBorder="1" applyAlignment="1">
      <alignment horizontal="right" vertical="center"/>
    </xf>
    <xf numFmtId="0" fontId="100" fillId="0" borderId="118" xfId="159" applyFont="1" applyFill="1" applyBorder="1" applyAlignment="1">
      <alignment vertical="center"/>
    </xf>
    <xf numFmtId="2" fontId="94" fillId="66" borderId="4" xfId="159" applyNumberFormat="1" applyFont="1" applyFill="1" applyBorder="1" applyAlignment="1">
      <alignment horizontal="right" vertical="center"/>
    </xf>
    <xf numFmtId="2" fontId="100" fillId="0" borderId="118" xfId="159" applyNumberFormat="1" applyFont="1" applyFill="1" applyBorder="1" applyAlignment="1">
      <alignment horizontal="right" vertical="center"/>
    </xf>
    <xf numFmtId="2" fontId="87" fillId="0" borderId="6" xfId="0" applyNumberFormat="1" applyFont="1" applyFill="1" applyBorder="1"/>
    <xf numFmtId="0" fontId="87" fillId="0" borderId="113" xfId="0" applyFont="1" applyFill="1" applyBorder="1" applyAlignment="1">
      <alignment horizontal="right"/>
    </xf>
    <xf numFmtId="0" fontId="100" fillId="0" borderId="121" xfId="159" applyFont="1" applyFill="1" applyBorder="1" applyAlignment="1">
      <alignment horizontal="right" vertical="center"/>
    </xf>
    <xf numFmtId="0" fontId="87" fillId="0" borderId="114" xfId="0" applyFont="1" applyFill="1" applyBorder="1"/>
    <xf numFmtId="0" fontId="87" fillId="0" borderId="81" xfId="0" applyFont="1" applyFill="1" applyBorder="1"/>
    <xf numFmtId="164" fontId="87" fillId="67" borderId="73" xfId="0" applyNumberFormat="1" applyFont="1" applyFill="1" applyBorder="1"/>
    <xf numFmtId="4" fontId="100" fillId="32" borderId="73" xfId="3229" applyNumberFormat="1" applyFont="1" applyFill="1" applyBorder="1" applyAlignment="1">
      <alignment horizontal="right" vertical="center"/>
    </xf>
    <xf numFmtId="0" fontId="101" fillId="66" borderId="73" xfId="0" applyFont="1" applyFill="1" applyBorder="1"/>
    <xf numFmtId="2" fontId="100" fillId="32" borderId="73" xfId="3229" applyNumberFormat="1" applyFont="1" applyFill="1" applyBorder="1" applyAlignment="1">
      <alignment horizontal="right" vertical="center"/>
    </xf>
    <xf numFmtId="0" fontId="87" fillId="0" borderId="117" xfId="0" applyFont="1" applyFill="1" applyBorder="1"/>
    <xf numFmtId="4" fontId="100" fillId="0" borderId="73" xfId="3229" applyNumberFormat="1" applyFont="1" applyFill="1" applyBorder="1" applyAlignment="1">
      <alignment horizontal="right" vertical="center"/>
    </xf>
    <xf numFmtId="2" fontId="102" fillId="0" borderId="117" xfId="0" applyNumberFormat="1" applyFont="1" applyFill="1" applyBorder="1"/>
    <xf numFmtId="4" fontId="87" fillId="0" borderId="113" xfId="0" applyNumberFormat="1" applyFont="1" applyFill="1" applyBorder="1"/>
    <xf numFmtId="0" fontId="87" fillId="0" borderId="113" xfId="0" applyFont="1" applyFill="1" applyBorder="1"/>
    <xf numFmtId="0" fontId="100" fillId="0" borderId="121" xfId="159" applyFont="1" applyFill="1" applyBorder="1" applyAlignment="1">
      <alignment horizontal="center" vertical="center"/>
    </xf>
    <xf numFmtId="0" fontId="87" fillId="0" borderId="77" xfId="0" applyFont="1" applyFill="1" applyBorder="1" applyAlignment="1">
      <alignment horizontal="center" vertical="center"/>
    </xf>
    <xf numFmtId="0" fontId="99" fillId="69" borderId="77" xfId="0" applyFont="1" applyFill="1" applyBorder="1" applyAlignment="1">
      <alignment horizontal="center" vertical="center"/>
    </xf>
    <xf numFmtId="2" fontId="87" fillId="0" borderId="73" xfId="0" applyNumberFormat="1" applyFont="1" applyFill="1" applyBorder="1" applyAlignment="1"/>
    <xf numFmtId="0" fontId="100" fillId="70" borderId="119" xfId="159" applyFont="1" applyFill="1" applyBorder="1" applyAlignment="1">
      <alignment horizontal="center" vertical="center"/>
    </xf>
    <xf numFmtId="2" fontId="100" fillId="70" borderId="73" xfId="159" applyNumberFormat="1" applyFont="1" applyFill="1" applyBorder="1" applyAlignment="1">
      <alignment horizontal="right" vertical="center"/>
    </xf>
    <xf numFmtId="0" fontId="87" fillId="70" borderId="73" xfId="0" applyFont="1" applyFill="1" applyBorder="1" applyAlignment="1"/>
    <xf numFmtId="0" fontId="87" fillId="70" borderId="73" xfId="0" applyFont="1" applyFill="1" applyBorder="1"/>
    <xf numFmtId="4" fontId="87" fillId="70" borderId="73" xfId="0" applyNumberFormat="1" applyFont="1" applyFill="1" applyBorder="1"/>
    <xf numFmtId="0" fontId="87" fillId="68" borderId="81" xfId="0" applyFont="1" applyFill="1" applyBorder="1" applyAlignment="1">
      <alignment horizontal="center"/>
    </xf>
    <xf numFmtId="0" fontId="103" fillId="0" borderId="6" xfId="159" applyFont="1" applyFill="1" applyBorder="1" applyAlignment="1">
      <alignment horizontal="center" vertical="center" wrapText="1"/>
    </xf>
    <xf numFmtId="0" fontId="95" fillId="0" borderId="65" xfId="159" applyFont="1" applyFill="1" applyBorder="1" applyAlignment="1">
      <alignment horizontal="center" vertical="center" wrapText="1"/>
    </xf>
    <xf numFmtId="0" fontId="96" fillId="0" borderId="117" xfId="159" applyFont="1" applyFill="1" applyBorder="1" applyAlignment="1">
      <alignment horizontal="center" vertical="center" wrapText="1"/>
    </xf>
    <xf numFmtId="0" fontId="97" fillId="0" borderId="81" xfId="159" applyFont="1" applyFill="1" applyBorder="1" applyAlignment="1">
      <alignment horizontal="center" vertical="center"/>
    </xf>
    <xf numFmtId="173" fontId="100" fillId="0" borderId="65" xfId="159" applyNumberFormat="1" applyFont="1" applyFill="1" applyBorder="1" applyAlignment="1">
      <alignment horizontal="right"/>
    </xf>
    <xf numFmtId="173" fontId="100" fillId="0" borderId="73" xfId="159" applyNumberFormat="1" applyFont="1" applyFill="1" applyBorder="1" applyAlignment="1">
      <alignment horizontal="right"/>
    </xf>
    <xf numFmtId="173" fontId="95" fillId="0" borderId="73" xfId="159" applyNumberFormat="1" applyFont="1" applyFill="1" applyBorder="1" applyAlignment="1">
      <alignment horizontal="left" vertical="center" wrapText="1"/>
    </xf>
    <xf numFmtId="173" fontId="100" fillId="0" borderId="118" xfId="159" applyNumberFormat="1" applyFont="1" applyFill="1" applyBorder="1" applyAlignment="1">
      <alignment horizontal="center" vertical="center"/>
    </xf>
    <xf numFmtId="173" fontId="100" fillId="68" borderId="118" xfId="159" applyNumberFormat="1" applyFont="1" applyFill="1" applyBorder="1" applyAlignment="1">
      <alignment horizontal="right" vertical="center"/>
    </xf>
    <xf numFmtId="173" fontId="100" fillId="68" borderId="123" xfId="159" applyNumberFormat="1" applyFont="1" applyFill="1" applyBorder="1" applyAlignment="1">
      <alignment horizontal="right" vertical="center"/>
    </xf>
    <xf numFmtId="173" fontId="95" fillId="0" borderId="123" xfId="159" applyNumberFormat="1" applyFont="1" applyFill="1" applyBorder="1" applyAlignment="1">
      <alignment horizontal="left" vertical="center" wrapText="1"/>
    </xf>
    <xf numFmtId="173" fontId="106" fillId="0" borderId="117" xfId="0" applyNumberFormat="1" applyFont="1" applyFill="1" applyBorder="1" applyAlignment="1">
      <alignment vertical="center" wrapText="1"/>
    </xf>
    <xf numFmtId="173" fontId="100" fillId="0" borderId="119" xfId="159" applyNumberFormat="1" applyFont="1" applyFill="1" applyBorder="1" applyAlignment="1">
      <alignment horizontal="right"/>
    </xf>
    <xf numFmtId="173" fontId="100" fillId="0" borderId="117" xfId="159" applyNumberFormat="1" applyFont="1" applyFill="1" applyBorder="1" applyAlignment="1">
      <alignment horizontal="right"/>
    </xf>
    <xf numFmtId="173" fontId="106" fillId="0" borderId="117" xfId="0" applyNumberFormat="1" applyFont="1" applyFill="1" applyBorder="1" applyAlignment="1">
      <alignment vertical="center"/>
    </xf>
    <xf numFmtId="173" fontId="100" fillId="68" borderId="118" xfId="159" applyNumberFormat="1" applyFont="1" applyFill="1" applyBorder="1" applyAlignment="1">
      <alignment horizontal="right"/>
    </xf>
    <xf numFmtId="173" fontId="100" fillId="68" borderId="117" xfId="159" applyNumberFormat="1" applyFont="1" applyFill="1" applyBorder="1" applyAlignment="1">
      <alignment horizontal="right"/>
    </xf>
    <xf numFmtId="173" fontId="100" fillId="68" borderId="73" xfId="159" applyNumberFormat="1" applyFont="1" applyFill="1" applyBorder="1" applyAlignment="1">
      <alignment horizontal="right"/>
    </xf>
    <xf numFmtId="173" fontId="100" fillId="67" borderId="118" xfId="159" applyNumberFormat="1" applyFont="1" applyFill="1" applyBorder="1" applyAlignment="1">
      <alignment horizontal="right" vertical="center"/>
    </xf>
    <xf numFmtId="173" fontId="100" fillId="67" borderId="117" xfId="0" applyNumberFormat="1" applyFont="1" applyFill="1" applyBorder="1" applyAlignment="1">
      <alignment vertical="center" wrapText="1"/>
    </xf>
    <xf numFmtId="173" fontId="100" fillId="67" borderId="117" xfId="0" applyNumberFormat="1" applyFont="1" applyFill="1" applyBorder="1" applyAlignment="1">
      <alignment vertical="center"/>
    </xf>
    <xf numFmtId="173" fontId="95" fillId="67" borderId="73" xfId="159" applyNumberFormat="1" applyFont="1" applyFill="1" applyBorder="1" applyAlignment="1">
      <alignment horizontal="right" vertical="center" wrapText="1"/>
    </xf>
    <xf numFmtId="0" fontId="100" fillId="67" borderId="119" xfId="159" applyFont="1" applyFill="1" applyBorder="1" applyAlignment="1">
      <alignment horizontal="center" vertical="center"/>
    </xf>
    <xf numFmtId="173" fontId="100" fillId="67" borderId="119" xfId="159" applyNumberFormat="1" applyFont="1" applyFill="1" applyBorder="1" applyAlignment="1">
      <alignment horizontal="right"/>
    </xf>
    <xf numFmtId="173" fontId="100" fillId="67" borderId="118" xfId="159" applyNumberFormat="1" applyFont="1" applyFill="1" applyBorder="1" applyAlignment="1">
      <alignment horizontal="right"/>
    </xf>
    <xf numFmtId="173" fontId="95" fillId="0" borderId="73" xfId="159" applyNumberFormat="1" applyFont="1" applyFill="1" applyBorder="1" applyAlignment="1">
      <alignment horizontal="right" vertical="center" wrapText="1"/>
    </xf>
    <xf numFmtId="0" fontId="44" fillId="0" borderId="113" xfId="0" applyFont="1" applyFill="1" applyBorder="1" applyAlignment="1">
      <alignment horizontal="left" vertical="center" wrapText="1" indent="1"/>
    </xf>
    <xf numFmtId="173" fontId="95" fillId="0" borderId="113" xfId="159" applyNumberFormat="1" applyFont="1" applyFill="1" applyBorder="1" applyAlignment="1">
      <alignment horizontal="right" vertical="center" wrapText="1"/>
    </xf>
    <xf numFmtId="173" fontId="100" fillId="0" borderId="121" xfId="159" applyNumberFormat="1" applyFont="1" applyFill="1" applyBorder="1" applyAlignment="1">
      <alignment horizontal="center" vertical="center"/>
    </xf>
    <xf numFmtId="173" fontId="95" fillId="0" borderId="113" xfId="159" applyNumberFormat="1" applyFont="1" applyFill="1" applyBorder="1" applyAlignment="1">
      <alignment horizontal="left" vertical="center" wrapText="1"/>
    </xf>
    <xf numFmtId="173" fontId="95" fillId="0" borderId="73" xfId="159" applyNumberFormat="1" applyFont="1" applyFill="1" applyBorder="1"/>
    <xf numFmtId="173" fontId="100" fillId="0" borderId="80" xfId="159" applyNumberFormat="1" applyFont="1" applyFill="1" applyBorder="1" applyAlignment="1">
      <alignment horizontal="right"/>
    </xf>
    <xf numFmtId="173" fontId="95" fillId="0" borderId="81" xfId="159" applyNumberFormat="1" applyFont="1" applyFill="1" applyBorder="1"/>
  </cellXfs>
  <cellStyles count="24170">
    <cellStyle name="20% - Акцент1 2" xfId="3"/>
    <cellStyle name="20% - Акцент1 2 2" xfId="4"/>
    <cellStyle name="20% - Акцент1 2 2 2" xfId="589"/>
    <cellStyle name="20% - Акцент1 2 2 2 2" xfId="10475"/>
    <cellStyle name="20% - Акцент1 2 2 3" xfId="2912"/>
    <cellStyle name="20% - Акцент1 2 3" xfId="5"/>
    <cellStyle name="20% - Акцент1 2 3 2" xfId="10476"/>
    <cellStyle name="20% - Акцент1 2 4" xfId="588"/>
    <cellStyle name="20% - Акцент1 2 4 2" xfId="10477"/>
    <cellStyle name="20% - Акцент1 2 4 3" xfId="10478"/>
    <cellStyle name="20% - Акцент1 2 5" xfId="2911"/>
    <cellStyle name="20% - Акцент1 3" xfId="6"/>
    <cellStyle name="20% - Акцент1 3 2" xfId="590"/>
    <cellStyle name="20% - Акцент1 3 2 2" xfId="3184"/>
    <cellStyle name="20% - Акцент1 3 2 3" xfId="2819"/>
    <cellStyle name="20% - Акцент1 3 3" xfId="2913"/>
    <cellStyle name="20% - Акцент2 2" xfId="7"/>
    <cellStyle name="20% - Акцент2 2 2" xfId="8"/>
    <cellStyle name="20% - Акцент2 2 2 2" xfId="591"/>
    <cellStyle name="20% - Акцент2 2 2 3" xfId="2914"/>
    <cellStyle name="20% - Акцент2 2 3" xfId="9"/>
    <cellStyle name="20% - Акцент2 2 4" xfId="10479"/>
    <cellStyle name="20% - Акцент2 3" xfId="10"/>
    <cellStyle name="20% - Акцент2 3 2" xfId="592"/>
    <cellStyle name="20% - Акцент2 3 2 2" xfId="3185"/>
    <cellStyle name="20% - Акцент2 3 2 3" xfId="2820"/>
    <cellStyle name="20% - Акцент3 2" xfId="11"/>
    <cellStyle name="20% - Акцент3 2 2" xfId="12"/>
    <cellStyle name="20% - Акцент3 2 2 2" xfId="593"/>
    <cellStyle name="20% - Акцент3 2 2 3" xfId="2915"/>
    <cellStyle name="20% - Акцент3 2 3" xfId="13"/>
    <cellStyle name="20% - Акцент3 2 4" xfId="10480"/>
    <cellStyle name="20% - Акцент3 3" xfId="14"/>
    <cellStyle name="20% - Акцент3 3 2" xfId="594"/>
    <cellStyle name="20% - Акцент3 3 2 2" xfId="3186"/>
    <cellStyle name="20% - Акцент3 3 2 3" xfId="2821"/>
    <cellStyle name="20% - Акцент4 2" xfId="15"/>
    <cellStyle name="20% - Акцент4 2 2" xfId="16"/>
    <cellStyle name="20% - Акцент4 2 2 2" xfId="595"/>
    <cellStyle name="20% - Акцент4 2 2 3" xfId="2916"/>
    <cellStyle name="20% - Акцент4 2 3" xfId="17"/>
    <cellStyle name="20% - Акцент4 2 3 2" xfId="2917"/>
    <cellStyle name="20% - Акцент4 2 3 3" xfId="2822"/>
    <cellStyle name="20% - Акцент4 2 4" xfId="10481"/>
    <cellStyle name="20% - Акцент4 3" xfId="18"/>
    <cellStyle name="20% - Акцент4 3 2" xfId="596"/>
    <cellStyle name="20% - Акцент4 3 2 2" xfId="3187"/>
    <cellStyle name="20% - Акцент4 3 2 3" xfId="2823"/>
    <cellStyle name="20% - Акцент4 3 3" xfId="2918"/>
    <cellStyle name="20% - Акцент5 2" xfId="19"/>
    <cellStyle name="20% - Акцент5 2 2" xfId="20"/>
    <cellStyle name="20% - Акцент5 2 2 2" xfId="598"/>
    <cellStyle name="20% - Акцент5 2 2 3" xfId="2919"/>
    <cellStyle name="20% - Акцент5 2 3" xfId="21"/>
    <cellStyle name="20% - Акцент5 2 3 2" xfId="2920"/>
    <cellStyle name="20% - Акцент5 2 3 3" xfId="2824"/>
    <cellStyle name="20% - Акцент5 2 4" xfId="597"/>
    <cellStyle name="20% - Акцент5 2 4 2" xfId="10482"/>
    <cellStyle name="20% - Акцент5 3" xfId="22"/>
    <cellStyle name="20% - Акцент5 3 2" xfId="599"/>
    <cellStyle name="20% - Акцент5 3 2 2" xfId="3188"/>
    <cellStyle name="20% - Акцент5 3 2 3" xfId="2825"/>
    <cellStyle name="20% - Акцент6 2" xfId="23"/>
    <cellStyle name="20% - Акцент6 2 2" xfId="24"/>
    <cellStyle name="20% - Акцент6 2 2 2" xfId="601"/>
    <cellStyle name="20% - Акцент6 2 2 2 2" xfId="10483"/>
    <cellStyle name="20% - Акцент6 2 2 3" xfId="2922"/>
    <cellStyle name="20% - Акцент6 2 3" xfId="25"/>
    <cellStyle name="20% - Акцент6 2 3 2" xfId="10484"/>
    <cellStyle name="20% - Акцент6 2 4" xfId="600"/>
    <cellStyle name="20% - Акцент6 2 4 2" xfId="10485"/>
    <cellStyle name="20% - Акцент6 2 4 3" xfId="10486"/>
    <cellStyle name="20% - Акцент6 2 5" xfId="2921"/>
    <cellStyle name="20% - Акцент6 2 5 2" xfId="10487"/>
    <cellStyle name="20% - Акцент6 3" xfId="26"/>
    <cellStyle name="20% - Акцент6 3 2" xfId="602"/>
    <cellStyle name="20% - Акцент6 3 2 2" xfId="3189"/>
    <cellStyle name="20% - Акцент6 3 2 3" xfId="2826"/>
    <cellStyle name="20% - Акцент6 3 3" xfId="2923"/>
    <cellStyle name="40% - Акцент1 2" xfId="27"/>
    <cellStyle name="40% - Акцент1 2 2" xfId="28"/>
    <cellStyle name="40% - Акцент1 2 2 2" xfId="604"/>
    <cellStyle name="40% - Акцент1 2 2 3" xfId="2924"/>
    <cellStyle name="40% - Акцент1 2 3" xfId="29"/>
    <cellStyle name="40% - Акцент1 2 3 2" xfId="2925"/>
    <cellStyle name="40% - Акцент1 2 3 3" xfId="2827"/>
    <cellStyle name="40% - Акцент1 2 4" xfId="603"/>
    <cellStyle name="40% - Акцент1 2 4 2" xfId="10488"/>
    <cellStyle name="40% - Акцент1 3" xfId="30"/>
    <cellStyle name="40% - Акцент1 3 2" xfId="605"/>
    <cellStyle name="40% - Акцент1 3 2 2" xfId="3190"/>
    <cellStyle name="40% - Акцент1 3 2 3" xfId="2828"/>
    <cellStyle name="40% - Акцент2 2" xfId="31"/>
    <cellStyle name="40% - Акцент2 2 2" xfId="32"/>
    <cellStyle name="40% - Акцент2 2 2 2" xfId="606"/>
    <cellStyle name="40% - Акцент2 2 2 3" xfId="2926"/>
    <cellStyle name="40% - Акцент2 2 3" xfId="33"/>
    <cellStyle name="40% - Акцент2 2 4" xfId="10489"/>
    <cellStyle name="40% - Акцент2 3" xfId="34"/>
    <cellStyle name="40% - Акцент2 3 2" xfId="607"/>
    <cellStyle name="40% - Акцент2 3 2 2" xfId="3191"/>
    <cellStyle name="40% - Акцент2 3 2 3" xfId="2829"/>
    <cellStyle name="40% - Акцент3 2" xfId="35"/>
    <cellStyle name="40% - Акцент3 2 2" xfId="36"/>
    <cellStyle name="40% - Акцент3 2 2 2" xfId="608"/>
    <cellStyle name="40% - Акцент3 2 2 2 2" xfId="10490"/>
    <cellStyle name="40% - Акцент3 2 2 3" xfId="2927"/>
    <cellStyle name="40% - Акцент3 2 3" xfId="37"/>
    <cellStyle name="40% - Акцент3 2 3 2" xfId="10491"/>
    <cellStyle name="40% - Акцент3 2 4" xfId="10492"/>
    <cellStyle name="40% - Акцент3 2 4 2" xfId="10493"/>
    <cellStyle name="40% - Акцент3 2 5" xfId="10494"/>
    <cellStyle name="40% - Акцент3 3" xfId="38"/>
    <cellStyle name="40% - Акцент3 3 2" xfId="609"/>
    <cellStyle name="40% - Акцент3 3 2 2" xfId="3192"/>
    <cellStyle name="40% - Акцент3 3 2 3" xfId="2830"/>
    <cellStyle name="40% - Акцент4 2" xfId="39"/>
    <cellStyle name="40% - Акцент4 2 2" xfId="40"/>
    <cellStyle name="40% - Акцент4 2 2 2" xfId="610"/>
    <cellStyle name="40% - Акцент4 2 2 3" xfId="2928"/>
    <cellStyle name="40% - Акцент4 2 3" xfId="41"/>
    <cellStyle name="40% - Акцент4 2 3 2" xfId="2929"/>
    <cellStyle name="40% - Акцент4 2 3 3" xfId="2831"/>
    <cellStyle name="40% - Акцент4 2 4" xfId="10495"/>
    <cellStyle name="40% - Акцент4 3" xfId="42"/>
    <cellStyle name="40% - Акцент4 3 2" xfId="611"/>
    <cellStyle name="40% - Акцент4 3 2 2" xfId="3193"/>
    <cellStyle name="40% - Акцент4 3 2 3" xfId="2832"/>
    <cellStyle name="40% - Акцент4 3 3" xfId="2930"/>
    <cellStyle name="40% - Акцент5 2" xfId="43"/>
    <cellStyle name="40% - Акцент5 2 2" xfId="44"/>
    <cellStyle name="40% - Акцент5 2 2 2" xfId="613"/>
    <cellStyle name="40% - Акцент5 2 2 3" xfId="2931"/>
    <cellStyle name="40% - Акцент5 2 3" xfId="45"/>
    <cellStyle name="40% - Акцент5 2 3 2" xfId="2932"/>
    <cellStyle name="40% - Акцент5 2 3 3" xfId="2833"/>
    <cellStyle name="40% - Акцент5 2 4" xfId="612"/>
    <cellStyle name="40% - Акцент5 2 4 2" xfId="10496"/>
    <cellStyle name="40% - Акцент5 3" xfId="46"/>
    <cellStyle name="40% - Акцент5 3 2" xfId="614"/>
    <cellStyle name="40% - Акцент5 3 2 2" xfId="3194"/>
    <cellStyle name="40% - Акцент5 3 2 3" xfId="2834"/>
    <cellStyle name="40% - Акцент6 2" xfId="47"/>
    <cellStyle name="40% - Акцент6 2 2" xfId="48"/>
    <cellStyle name="40% - Акцент6 2 2 2" xfId="615"/>
    <cellStyle name="40% - Акцент6 2 2 3" xfId="2933"/>
    <cellStyle name="40% - Акцент6 2 3" xfId="49"/>
    <cellStyle name="40% - Акцент6 2 4" xfId="10497"/>
    <cellStyle name="40% - Акцент6 3" xfId="50"/>
    <cellStyle name="40% - Акцент6 3 2" xfId="616"/>
    <cellStyle name="40% - Акцент6 3 2 2" xfId="3195"/>
    <cellStyle name="40% - Акцент6 3 2 3" xfId="2835"/>
    <cellStyle name="60% - Акцент1 2" xfId="51"/>
    <cellStyle name="60% - Акцент1 2 2" xfId="52"/>
    <cellStyle name="60% - Акцент1 2 2 2" xfId="617"/>
    <cellStyle name="60% - Акцент1 2 2 2 2" xfId="10498"/>
    <cellStyle name="60% - Акцент1 2 2 3" xfId="2934"/>
    <cellStyle name="60% - Акцент1 2 3" xfId="53"/>
    <cellStyle name="60% - Акцент1 2 3 2" xfId="10499"/>
    <cellStyle name="60% - Акцент1 2 4" xfId="10500"/>
    <cellStyle name="60% - Акцент1 2 4 2" xfId="10501"/>
    <cellStyle name="60% - Акцент1 2 5" xfId="10502"/>
    <cellStyle name="60% - Акцент1 3" xfId="54"/>
    <cellStyle name="60% - Акцент1 3 2" xfId="618"/>
    <cellStyle name="60% - Акцент1 3 2 2" xfId="3196"/>
    <cellStyle name="60% - Акцент1 3 2 3" xfId="2836"/>
    <cellStyle name="60% - Акцент2 2" xfId="55"/>
    <cellStyle name="60% - Акцент2 2 2" xfId="56"/>
    <cellStyle name="60% - Акцент2 2 2 2" xfId="619"/>
    <cellStyle name="60% - Акцент2 2 2 3" xfId="2935"/>
    <cellStyle name="60% - Акцент2 2 3" xfId="57"/>
    <cellStyle name="60% - Акцент2 2 4" xfId="10503"/>
    <cellStyle name="60% - Акцент2 3" xfId="58"/>
    <cellStyle name="60% - Акцент2 3 2" xfId="620"/>
    <cellStyle name="60% - Акцент2 3 2 2" xfId="3197"/>
    <cellStyle name="60% - Акцент2 3 2 3" xfId="2837"/>
    <cellStyle name="60% - Акцент3 2" xfId="59"/>
    <cellStyle name="60% - Акцент3 2 2" xfId="60"/>
    <cellStyle name="60% - Акцент3 2 2 2" xfId="621"/>
    <cellStyle name="60% - Акцент3 2 2 2 2" xfId="10504"/>
    <cellStyle name="60% - Акцент3 2 2 3" xfId="2936"/>
    <cellStyle name="60% - Акцент3 2 3" xfId="61"/>
    <cellStyle name="60% - Акцент3 2 3 2" xfId="10505"/>
    <cellStyle name="60% - Акцент3 2 4" xfId="10506"/>
    <cellStyle name="60% - Акцент3 2 4 2" xfId="10507"/>
    <cellStyle name="60% - Акцент3 2 5" xfId="10508"/>
    <cellStyle name="60% - Акцент3 3" xfId="62"/>
    <cellStyle name="60% - Акцент3 3 2" xfId="622"/>
    <cellStyle name="60% - Акцент3 3 2 2" xfId="3198"/>
    <cellStyle name="60% - Акцент3 3 2 3" xfId="2838"/>
    <cellStyle name="60% - Акцент4 2" xfId="63"/>
    <cellStyle name="60% - Акцент4 2 2" xfId="64"/>
    <cellStyle name="60% - Акцент4 2 2 2" xfId="623"/>
    <cellStyle name="60% - Акцент4 2 2 3" xfId="2937"/>
    <cellStyle name="60% - Акцент4 2 3" xfId="65"/>
    <cellStyle name="60% - Акцент4 2 4" xfId="10509"/>
    <cellStyle name="60% - Акцент4 3" xfId="66"/>
    <cellStyle name="60% - Акцент4 3 2" xfId="624"/>
    <cellStyle name="60% - Акцент4 3 2 2" xfId="3199"/>
    <cellStyle name="60% - Акцент4 3 2 3" xfId="2839"/>
    <cellStyle name="60% - Акцент5 2" xfId="67"/>
    <cellStyle name="60% - Акцент5 2 2" xfId="68"/>
    <cellStyle name="60% - Акцент5 2 2 2" xfId="625"/>
    <cellStyle name="60% - Акцент5 2 2 3" xfId="2938"/>
    <cellStyle name="60% - Акцент5 2 3" xfId="69"/>
    <cellStyle name="60% - Акцент5 2 4" xfId="10510"/>
    <cellStyle name="60% - Акцент5 3" xfId="70"/>
    <cellStyle name="60% - Акцент5 3 2" xfId="626"/>
    <cellStyle name="60% - Акцент5 3 2 2" xfId="3200"/>
    <cellStyle name="60% - Акцент5 3 2 3" xfId="2840"/>
    <cellStyle name="60% - Акцент6 2" xfId="71"/>
    <cellStyle name="60% - Акцент6 2 2" xfId="72"/>
    <cellStyle name="60% - Акцент6 2 2 2" xfId="627"/>
    <cellStyle name="60% - Акцент6 2 2 3" xfId="2939"/>
    <cellStyle name="60% - Акцент6 2 3" xfId="73"/>
    <cellStyle name="60% - Акцент6 2 4" xfId="10511"/>
    <cellStyle name="60% - Акцент6 3" xfId="74"/>
    <cellStyle name="60% - Акцент6 3 2" xfId="628"/>
    <cellStyle name="60% - Акцент6 3 2 2" xfId="3201"/>
    <cellStyle name="60% - Акцент6 3 2 3" xfId="2841"/>
    <cellStyle name="Accent" xfId="75"/>
    <cellStyle name="Accent 1" xfId="76"/>
    <cellStyle name="Accent 1 2" xfId="10512"/>
    <cellStyle name="Accent 2" xfId="77"/>
    <cellStyle name="Accent 3" xfId="78"/>
    <cellStyle name="Accent 3 2" xfId="10513"/>
    <cellStyle name="Bad" xfId="79"/>
    <cellStyle name="Bad 2" xfId="10514"/>
    <cellStyle name="Error" xfId="80"/>
    <cellStyle name="Error 2" xfId="10515"/>
    <cellStyle name="Excel Built-in Explanatory Text" xfId="10516"/>
    <cellStyle name="Footnote" xfId="81"/>
    <cellStyle name="Good" xfId="82"/>
    <cellStyle name="Heading" xfId="83"/>
    <cellStyle name="Heading 1" xfId="84"/>
    <cellStyle name="Heading 2" xfId="85"/>
    <cellStyle name="Neutral" xfId="86"/>
    <cellStyle name="Normal 2" xfId="87"/>
    <cellStyle name="Normal 2 2" xfId="88"/>
    <cellStyle name="Normal 2 2 2" xfId="629"/>
    <cellStyle name="Normal 2 2 2 2" xfId="10517"/>
    <cellStyle name="Normal 2 2 3" xfId="1714"/>
    <cellStyle name="Normal 2 2 4" xfId="2940"/>
    <cellStyle name="Normal 2 3" xfId="1713"/>
    <cellStyle name="Note" xfId="89"/>
    <cellStyle name="Note 10" xfId="23513"/>
    <cellStyle name="Note 2" xfId="1715"/>
    <cellStyle name="Note 2 2" xfId="3275"/>
    <cellStyle name="Note 2 2 10" xfId="20447"/>
    <cellStyle name="Note 2 2 2" xfId="5448"/>
    <cellStyle name="Note 2 2 2 2" xfId="5783"/>
    <cellStyle name="Note 2 2 2 2 2" xfId="19520"/>
    <cellStyle name="Note 2 2 2 2 3" xfId="22706"/>
    <cellStyle name="Note 2 2 2 2 4" xfId="23132"/>
    <cellStyle name="Note 2 2 2 2 5" xfId="23514"/>
    <cellStyle name="Note 2 2 2 2 6" xfId="19223"/>
    <cellStyle name="Note 2 2 2 2 7" xfId="21410"/>
    <cellStyle name="Note 2 2 2 3" xfId="6118"/>
    <cellStyle name="Note 2 2 2 3 2" xfId="23920"/>
    <cellStyle name="Note 2 2 2 3 3" xfId="21956"/>
    <cellStyle name="Note 2 2 2 4" xfId="18963"/>
    <cellStyle name="Note 2 2 2 4 2" xfId="22371"/>
    <cellStyle name="Note 2 2 2 5" xfId="23382"/>
    <cellStyle name="Note 2 2 2 6" xfId="21704"/>
    <cellStyle name="Note 2 2 2 7" xfId="23764"/>
    <cellStyle name="Note 2 2 3" xfId="5535"/>
    <cellStyle name="Note 2 2 3 2" xfId="5870"/>
    <cellStyle name="Note 2 2 3 2 2" xfId="20566"/>
    <cellStyle name="Note 2 2 3 2 3" xfId="22793"/>
    <cellStyle name="Note 2 2 3 2 4" xfId="19395"/>
    <cellStyle name="Note 2 2 3 2 5" xfId="20981"/>
    <cellStyle name="Note 2 2 3 2 6" xfId="20836"/>
    <cellStyle name="Note 2 2 3 2 7" xfId="21497"/>
    <cellStyle name="Note 2 2 3 3" xfId="6205"/>
    <cellStyle name="Note 2 2 3 3 2" xfId="24007"/>
    <cellStyle name="Note 2 2 3 3 3" xfId="19459"/>
    <cellStyle name="Note 2 2 3 4" xfId="19050"/>
    <cellStyle name="Note 2 2 3 4 2" xfId="22458"/>
    <cellStyle name="Note 2 2 3 5" xfId="23362"/>
    <cellStyle name="Note 2 2 3 6" xfId="19895"/>
    <cellStyle name="Note 2 2 3 7" xfId="21764"/>
    <cellStyle name="Note 2 2 4" xfId="5592"/>
    <cellStyle name="Note 2 2 4 2" xfId="20549"/>
    <cellStyle name="Note 2 2 4 3" xfId="22515"/>
    <cellStyle name="Note 2 2 4 4" xfId="23041"/>
    <cellStyle name="Note 2 2 4 5" xfId="20106"/>
    <cellStyle name="Note 2 2 4 6" xfId="20281"/>
    <cellStyle name="Note 2 2 4 7" xfId="21293"/>
    <cellStyle name="Note 2 2 5" xfId="5927"/>
    <cellStyle name="Note 2 2 5 2" xfId="20796"/>
    <cellStyle name="Note 2 2 5 3" xfId="22850"/>
    <cellStyle name="Note 2 2 5 4" xfId="22080"/>
    <cellStyle name="Note 2 2 5 5" xfId="20779"/>
    <cellStyle name="Note 2 2 5 6" xfId="23442"/>
    <cellStyle name="Note 2 2 5 7" xfId="21554"/>
    <cellStyle name="Note 2 2 6" xfId="6262"/>
    <cellStyle name="Note 2 2 6 2" xfId="24064"/>
    <cellStyle name="Note 2 2 6 3" xfId="19367"/>
    <cellStyle name="Note 2 2 7" xfId="19107"/>
    <cellStyle name="Note 2 2 7 2" xfId="21902"/>
    <cellStyle name="Note 2 2 8" xfId="20800"/>
    <cellStyle name="Note 2 2 9" xfId="23105"/>
    <cellStyle name="Note 2 3" xfId="5412"/>
    <cellStyle name="Note 2 3 2" xfId="20387"/>
    <cellStyle name="Note 2 3 3" xfId="22335"/>
    <cellStyle name="Note 2 3 4" xfId="23094"/>
    <cellStyle name="Note 2 3 5" xfId="21822"/>
    <cellStyle name="Note 2 3 6" xfId="23431"/>
    <cellStyle name="Note 2 3 7" xfId="21218"/>
    <cellStyle name="Note 2 4" xfId="5747"/>
    <cellStyle name="Note 2 4 2" xfId="19548"/>
    <cellStyle name="Note 2 4 3" xfId="22670"/>
    <cellStyle name="Note 2 4 4" xfId="21787"/>
    <cellStyle name="Note 2 4 5" xfId="20287"/>
    <cellStyle name="Note 2 4 6" xfId="23662"/>
    <cellStyle name="Note 2 4 7" xfId="21374"/>
    <cellStyle name="Note 2 5" xfId="6082"/>
    <cellStyle name="Note 2 5 2" xfId="23884"/>
    <cellStyle name="Note 2 5 3" xfId="19877"/>
    <cellStyle name="Note 2 6" xfId="18927"/>
    <cellStyle name="Note 2 6 2" xfId="21141"/>
    <cellStyle name="Note 2 7" xfId="20468"/>
    <cellStyle name="Note 2 8" xfId="22036"/>
    <cellStyle name="Note 2 9" xfId="19417"/>
    <cellStyle name="Note 3" xfId="3235"/>
    <cellStyle name="Note 3 10" xfId="23553"/>
    <cellStyle name="Note 3 2" xfId="5510"/>
    <cellStyle name="Note 3 2 2" xfId="5845"/>
    <cellStyle name="Note 3 2 2 2" xfId="19724"/>
    <cellStyle name="Note 3 2 2 3" xfId="22768"/>
    <cellStyle name="Note 3 2 2 4" xfId="21054"/>
    <cellStyle name="Note 3 2 2 5" xfId="23302"/>
    <cellStyle name="Note 3 2 2 6" xfId="23602"/>
    <cellStyle name="Note 3 2 2 7" xfId="21472"/>
    <cellStyle name="Note 3 2 3" xfId="6180"/>
    <cellStyle name="Note 3 2 3 2" xfId="23982"/>
    <cellStyle name="Note 3 2 3 3" xfId="21940"/>
    <cellStyle name="Note 3 2 4" xfId="19025"/>
    <cellStyle name="Note 3 2 4 2" xfId="22433"/>
    <cellStyle name="Note 3 2 5" xfId="19905"/>
    <cellStyle name="Note 3 2 6" xfId="22950"/>
    <cellStyle name="Note 3 2 7" xfId="23740"/>
    <cellStyle name="Note 3 3" xfId="5501"/>
    <cellStyle name="Note 3 3 2" xfId="5836"/>
    <cellStyle name="Note 3 3 2 2" xfId="20517"/>
    <cellStyle name="Note 3 3 2 3" xfId="22759"/>
    <cellStyle name="Note 3 3 2 4" xfId="20114"/>
    <cellStyle name="Note 3 3 2 5" xfId="20342"/>
    <cellStyle name="Note 3 3 2 6" xfId="19685"/>
    <cellStyle name="Note 3 3 2 7" xfId="21463"/>
    <cellStyle name="Note 3 3 3" xfId="6171"/>
    <cellStyle name="Note 3 3 3 2" xfId="23973"/>
    <cellStyle name="Note 3 3 3 3" xfId="20944"/>
    <cellStyle name="Note 3 3 4" xfId="19016"/>
    <cellStyle name="Note 3 3 4 2" xfId="22424"/>
    <cellStyle name="Note 3 3 5" xfId="23267"/>
    <cellStyle name="Note 3 3 6" xfId="23091"/>
    <cellStyle name="Note 3 3 7" xfId="19659"/>
    <cellStyle name="Note 3 4" xfId="5552"/>
    <cellStyle name="Note 3 4 2" xfId="20434"/>
    <cellStyle name="Note 3 4 3" xfId="22475"/>
    <cellStyle name="Note 3 4 4" xfId="23090"/>
    <cellStyle name="Note 3 4 5" xfId="22964"/>
    <cellStyle name="Note 3 4 6" xfId="23738"/>
    <cellStyle name="Note 3 4 7" xfId="21253"/>
    <cellStyle name="Note 3 5" xfId="5887"/>
    <cellStyle name="Note 3 5 2" xfId="19750"/>
    <cellStyle name="Note 3 5 3" xfId="22810"/>
    <cellStyle name="Note 3 5 4" xfId="22268"/>
    <cellStyle name="Note 3 5 5" xfId="20754"/>
    <cellStyle name="Note 3 5 6" xfId="20764"/>
    <cellStyle name="Note 3 5 7" xfId="21514"/>
    <cellStyle name="Note 3 6" xfId="6222"/>
    <cellStyle name="Note 3 6 2" xfId="24024"/>
    <cellStyle name="Note 3 6 3" xfId="20544"/>
    <cellStyle name="Note 3 7" xfId="19067"/>
    <cellStyle name="Note 3 7 2" xfId="19955"/>
    <cellStyle name="Note 3 8" xfId="20854"/>
    <cellStyle name="Note 3 9" xfId="19263"/>
    <cellStyle name="Note 4" xfId="5375"/>
    <cellStyle name="Note 4 2" xfId="22148"/>
    <cellStyle name="Note 4 3" xfId="22298"/>
    <cellStyle name="Note 4 4" xfId="23187"/>
    <cellStyle name="Note 4 5" xfId="19760"/>
    <cellStyle name="Note 4 6" xfId="23790"/>
    <cellStyle name="Note 4 7" xfId="21181"/>
    <cellStyle name="Note 5" xfId="5710"/>
    <cellStyle name="Note 5 2" xfId="22074"/>
    <cellStyle name="Note 5 3" xfId="22633"/>
    <cellStyle name="Note 5 4" xfId="20245"/>
    <cellStyle name="Note 5 5" xfId="23194"/>
    <cellStyle name="Note 5 6" xfId="23521"/>
    <cellStyle name="Note 5 7" xfId="21337"/>
    <cellStyle name="Note 6" xfId="6045"/>
    <cellStyle name="Note 6 2" xfId="23847"/>
    <cellStyle name="Note 6 3" xfId="20332"/>
    <cellStyle name="Note 7" xfId="18890"/>
    <cellStyle name="Note 7 2" xfId="19940"/>
    <cellStyle name="Note 8" xfId="20941"/>
    <cellStyle name="Note 9" xfId="20355"/>
    <cellStyle name="Status" xfId="90"/>
    <cellStyle name="Status 2" xfId="1716"/>
    <cellStyle name="Text" xfId="91"/>
    <cellStyle name="Text 2" xfId="1717"/>
    <cellStyle name="Warning" xfId="92"/>
    <cellStyle name="Акцент1 2" xfId="93"/>
    <cellStyle name="Акцент1 2 2" xfId="94"/>
    <cellStyle name="Акцент1 2 2 2" xfId="630"/>
    <cellStyle name="Акцент1 2 2 3" xfId="2941"/>
    <cellStyle name="Акцент1 2 3" xfId="95"/>
    <cellStyle name="Акцент1 2 4" xfId="10518"/>
    <cellStyle name="Акцент1 3" xfId="96"/>
    <cellStyle name="Акцент1 3 2" xfId="631"/>
    <cellStyle name="Акцент1 3 2 2" xfId="3202"/>
    <cellStyle name="Акцент1 3 2 3" xfId="2842"/>
    <cellStyle name="Акцент2 2" xfId="97"/>
    <cellStyle name="Акцент2 2 2" xfId="98"/>
    <cellStyle name="Акцент2 2 2 2" xfId="633"/>
    <cellStyle name="Акцент2 2 2 2 2" xfId="10519"/>
    <cellStyle name="Акцент2 2 2 3" xfId="2943"/>
    <cellStyle name="Акцент2 2 3" xfId="99"/>
    <cellStyle name="Акцент2 2 3 2" xfId="2944"/>
    <cellStyle name="Акцент2 2 3 2 2" xfId="10520"/>
    <cellStyle name="Акцент2 2 3 3" xfId="2843"/>
    <cellStyle name="Акцент2 2 4" xfId="632"/>
    <cellStyle name="Акцент2 2 4 2" xfId="10521"/>
    <cellStyle name="Акцент2 2 5" xfId="2942"/>
    <cellStyle name="Акцент2 3" xfId="100"/>
    <cellStyle name="Акцент2 3 2" xfId="634"/>
    <cellStyle name="Акцент2 3 2 2" xfId="3203"/>
    <cellStyle name="Акцент2 3 2 3" xfId="2844"/>
    <cellStyle name="Акцент2 3 3" xfId="2945"/>
    <cellStyle name="Акцент3 2" xfId="101"/>
    <cellStyle name="Акцент3 2 2" xfId="102"/>
    <cellStyle name="Акцент3 2 2 2" xfId="635"/>
    <cellStyle name="Акцент3 2 2 3" xfId="2946"/>
    <cellStyle name="Акцент3 2 3" xfId="103"/>
    <cellStyle name="Акцент3 2 4" xfId="10522"/>
    <cellStyle name="Акцент3 3" xfId="104"/>
    <cellStyle name="Акцент3 3 2" xfId="636"/>
    <cellStyle name="Акцент3 3 2 2" xfId="3204"/>
    <cellStyle name="Акцент3 3 2 3" xfId="2845"/>
    <cellStyle name="Акцент4 2" xfId="105"/>
    <cellStyle name="Акцент4 2 2" xfId="106"/>
    <cellStyle name="Акцент4 2 2 2" xfId="637"/>
    <cellStyle name="Акцент4 2 2 3" xfId="2947"/>
    <cellStyle name="Акцент4 2 3" xfId="107"/>
    <cellStyle name="Акцент4 2 4" xfId="10523"/>
    <cellStyle name="Акцент4 3" xfId="108"/>
    <cellStyle name="Акцент4 3 2" xfId="638"/>
    <cellStyle name="Акцент4 3 2 2" xfId="3205"/>
    <cellStyle name="Акцент4 3 2 3" xfId="2846"/>
    <cellStyle name="Акцент5 2" xfId="109"/>
    <cellStyle name="Акцент5 2 2" xfId="110"/>
    <cellStyle name="Акцент5 2 2 2" xfId="639"/>
    <cellStyle name="Акцент5 2 2 3" xfId="2948"/>
    <cellStyle name="Акцент5 2 3" xfId="111"/>
    <cellStyle name="Акцент5 2 4" xfId="10524"/>
    <cellStyle name="Акцент5 3" xfId="112"/>
    <cellStyle name="Акцент5 3 2" xfId="640"/>
    <cellStyle name="Акцент5 3 2 2" xfId="3206"/>
    <cellStyle name="Акцент5 3 2 3" xfId="2847"/>
    <cellStyle name="Акцент6 2" xfId="113"/>
    <cellStyle name="Акцент6 2 2" xfId="114"/>
    <cellStyle name="Акцент6 2 2 2" xfId="641"/>
    <cellStyle name="Акцент6 2 2 3" xfId="2949"/>
    <cellStyle name="Акцент6 2 3" xfId="115"/>
    <cellStyle name="Акцент6 2 4" xfId="10525"/>
    <cellStyle name="Акцент6 3" xfId="116"/>
    <cellStyle name="Акцент6 3 2" xfId="642"/>
    <cellStyle name="Акцент6 3 2 2" xfId="3207"/>
    <cellStyle name="Акцент6 3 2 3" xfId="2848"/>
    <cellStyle name="Ввод  2" xfId="117"/>
    <cellStyle name="Ввод  2 10" xfId="5356"/>
    <cellStyle name="Ввод  2 10 2" xfId="21668"/>
    <cellStyle name="Ввод  2 10 3" xfId="22279"/>
    <cellStyle name="Ввод  2 10 4" xfId="23197"/>
    <cellStyle name="Ввод  2 10 5" xfId="19221"/>
    <cellStyle name="Ввод  2 10 6" xfId="20991"/>
    <cellStyle name="Ввод  2 10 7" xfId="21162"/>
    <cellStyle name="Ввод  2 11" xfId="5691"/>
    <cellStyle name="Ввод  2 11 2" xfId="21864"/>
    <cellStyle name="Ввод  2 11 3" xfId="22614"/>
    <cellStyle name="Ввод  2 11 4" xfId="20638"/>
    <cellStyle name="Ввод  2 11 5" xfId="20719"/>
    <cellStyle name="Ввод  2 11 6" xfId="23699"/>
    <cellStyle name="Ввод  2 11 7" xfId="21318"/>
    <cellStyle name="Ввод  2 12" xfId="6026"/>
    <cellStyle name="Ввод  2 12 2" xfId="23828"/>
    <cellStyle name="Ввод  2 12 3" xfId="22129"/>
    <cellStyle name="Ввод  2 13" xfId="18871"/>
    <cellStyle name="Ввод  2 13 2" xfId="19339"/>
    <cellStyle name="Ввод  2 14" xfId="22035"/>
    <cellStyle name="Ввод  2 15" xfId="20142"/>
    <cellStyle name="Ввод  2 16" xfId="19279"/>
    <cellStyle name="Ввод  2 2" xfId="118"/>
    <cellStyle name="Ввод  2 2 10" xfId="18872"/>
    <cellStyle name="Ввод  2 2 10 2" xfId="20432"/>
    <cellStyle name="Ввод  2 2 11" xfId="20603"/>
    <cellStyle name="Ввод  2 2 12" xfId="20190"/>
    <cellStyle name="Ввод  2 2 13" xfId="19442"/>
    <cellStyle name="Ввод  2 2 2" xfId="644"/>
    <cellStyle name="Ввод  2 2 2 10" xfId="23649"/>
    <cellStyle name="Ввод  2 2 2 2" xfId="1779"/>
    <cellStyle name="Ввод  2 2 2 2 2" xfId="3291"/>
    <cellStyle name="Ввод  2 2 2 2 2 10" xfId="19262"/>
    <cellStyle name="Ввод  2 2 2 2 2 2" xfId="5547"/>
    <cellStyle name="Ввод  2 2 2 2 2 2 2" xfId="5882"/>
    <cellStyle name="Ввод  2 2 2 2 2 2 2 2" xfId="20598"/>
    <cellStyle name="Ввод  2 2 2 2 2 2 2 3" xfId="22805"/>
    <cellStyle name="Ввод  2 2 2 2 2 2 2 4" xfId="21925"/>
    <cellStyle name="Ввод  2 2 2 2 2 2 2 5" xfId="23491"/>
    <cellStyle name="Ввод  2 2 2 2 2 2 2 6" xfId="19801"/>
    <cellStyle name="Ввод  2 2 2 2 2 2 2 7" xfId="21509"/>
    <cellStyle name="Ввод  2 2 2 2 2 2 3" xfId="6217"/>
    <cellStyle name="Ввод  2 2 2 2 2 2 3 2" xfId="24019"/>
    <cellStyle name="Ввод  2 2 2 2 2 2 3 3" xfId="19991"/>
    <cellStyle name="Ввод  2 2 2 2 2 2 4" xfId="19062"/>
    <cellStyle name="Ввод  2 2 2 2 2 2 4 2" xfId="22470"/>
    <cellStyle name="Ввод  2 2 2 2 2 2 5" xfId="23207"/>
    <cellStyle name="Ввод  2 2 2 2 2 2 6" xfId="20364"/>
    <cellStyle name="Ввод  2 2 2 2 2 2 7" xfId="21889"/>
    <cellStyle name="Ввод  2 2 2 2 2 3" xfId="5643"/>
    <cellStyle name="Ввод  2 2 2 2 2 3 2" xfId="5978"/>
    <cellStyle name="Ввод  2 2 2 2 2 3 2 2" xfId="20673"/>
    <cellStyle name="Ввод  2 2 2 2 2 3 2 3" xfId="22901"/>
    <cellStyle name="Ввод  2 2 2 2 2 3 2 4" xfId="21069"/>
    <cellStyle name="Ввод  2 2 2 2 2 3 2 5" xfId="21997"/>
    <cellStyle name="Ввод  2 2 2 2 2 3 2 6" xfId="20844"/>
    <cellStyle name="Ввод  2 2 2 2 2 3 2 7" xfId="21605"/>
    <cellStyle name="Ввод  2 2 2 2 2 3 3" xfId="6313"/>
    <cellStyle name="Ввод  2 2 2 2 2 3 3 2" xfId="24115"/>
    <cellStyle name="Ввод  2 2 2 2 2 3 3 3" xfId="20437"/>
    <cellStyle name="Ввод  2 2 2 2 2 3 4" xfId="19158"/>
    <cellStyle name="Ввод  2 2 2 2 2 3 4 2" xfId="22566"/>
    <cellStyle name="Ввод  2 2 2 2 2 3 5" xfId="23164"/>
    <cellStyle name="Ввод  2 2 2 2 2 3 6" xfId="19747"/>
    <cellStyle name="Ввод  2 2 2 2 2 3 7" xfId="21724"/>
    <cellStyle name="Ввод  2 2 2 2 2 4" xfId="5608"/>
    <cellStyle name="Ввод  2 2 2 2 2 4 2" xfId="20850"/>
    <cellStyle name="Ввод  2 2 2 2 2 4 3" xfId="22531"/>
    <cellStyle name="Ввод  2 2 2 2 2 4 4" xfId="23001"/>
    <cellStyle name="Ввод  2 2 2 2 2 4 5" xfId="19607"/>
    <cellStyle name="Ввод  2 2 2 2 2 4 6" xfId="23791"/>
    <cellStyle name="Ввод  2 2 2 2 2 4 7" xfId="21309"/>
    <cellStyle name="Ввод  2 2 2 2 2 5" xfId="5943"/>
    <cellStyle name="Ввод  2 2 2 2 2 5 2" xfId="19430"/>
    <cellStyle name="Ввод  2 2 2 2 2 5 3" xfId="22866"/>
    <cellStyle name="Ввод  2 2 2 2 2 5 4" xfId="20534"/>
    <cellStyle name="Ввод  2 2 2 2 2 5 5" xfId="21963"/>
    <cellStyle name="Ввод  2 2 2 2 2 5 6" xfId="19773"/>
    <cellStyle name="Ввод  2 2 2 2 2 5 7" xfId="21570"/>
    <cellStyle name="Ввод  2 2 2 2 2 6" xfId="6278"/>
    <cellStyle name="Ввод  2 2 2 2 2 6 2" xfId="24080"/>
    <cellStyle name="Ввод  2 2 2 2 2 6 3" xfId="19225"/>
    <cellStyle name="Ввод  2 2 2 2 2 7" xfId="19123"/>
    <cellStyle name="Ввод  2 2 2 2 2 7 2" xfId="20487"/>
    <cellStyle name="Ввод  2 2 2 2 2 8" xfId="20273"/>
    <cellStyle name="Ввод  2 2 2 2 2 9" xfId="20261"/>
    <cellStyle name="Ввод  2 2 2 2 3" xfId="5428"/>
    <cellStyle name="Ввод  2 2 2 2 3 2" xfId="22182"/>
    <cellStyle name="Ввод  2 2 2 2 3 3" xfId="22351"/>
    <cellStyle name="Ввод  2 2 2 2 3 4" xfId="23334"/>
    <cellStyle name="Ввод  2 2 2 2 3 5" xfId="23630"/>
    <cellStyle name="Ввод  2 2 2 2 3 6" xfId="23801"/>
    <cellStyle name="Ввод  2 2 2 2 3 7" xfId="21234"/>
    <cellStyle name="Ввод  2 2 2 2 4" xfId="5763"/>
    <cellStyle name="Ввод  2 2 2 2 4 2" xfId="21709"/>
    <cellStyle name="Ввод  2 2 2 2 4 3" xfId="22686"/>
    <cellStyle name="Ввод  2 2 2 2 4 4" xfId="20998"/>
    <cellStyle name="Ввод  2 2 2 2 4 5" xfId="22057"/>
    <cellStyle name="Ввод  2 2 2 2 4 6" xfId="19368"/>
    <cellStyle name="Ввод  2 2 2 2 4 7" xfId="21390"/>
    <cellStyle name="Ввод  2 2 2 2 5" xfId="6098"/>
    <cellStyle name="Ввод  2 2 2 2 5 2" xfId="23900"/>
    <cellStyle name="Ввод  2 2 2 2 5 3" xfId="19391"/>
    <cellStyle name="Ввод  2 2 2 2 6" xfId="18943"/>
    <cellStyle name="Ввод  2 2 2 2 6 2" xfId="19866"/>
    <cellStyle name="Ввод  2 2 2 2 7" xfId="22016"/>
    <cellStyle name="Ввод  2 2 2 2 8" xfId="20729"/>
    <cellStyle name="Ввод  2 2 2 2 9" xfId="23595"/>
    <cellStyle name="Ввод  2 2 2 3" xfId="3253"/>
    <cellStyle name="Ввод  2 2 2 3 10" xfId="19602"/>
    <cellStyle name="Ввод  2 2 2 3 2" xfId="5538"/>
    <cellStyle name="Ввод  2 2 2 3 2 2" xfId="5873"/>
    <cellStyle name="Ввод  2 2 2 3 2 2 2" xfId="20368"/>
    <cellStyle name="Ввод  2 2 2 3 2 2 3" xfId="22796"/>
    <cellStyle name="Ввод  2 2 2 3 2 2 4" xfId="21896"/>
    <cellStyle name="Ввод  2 2 2 3 2 2 5" xfId="20017"/>
    <cellStyle name="Ввод  2 2 2 3 2 2 6" xfId="20412"/>
    <cellStyle name="Ввод  2 2 2 3 2 2 7" xfId="21500"/>
    <cellStyle name="Ввод  2 2 2 3 2 3" xfId="6208"/>
    <cellStyle name="Ввод  2 2 2 3 2 3 2" xfId="24010"/>
    <cellStyle name="Ввод  2 2 2 3 2 3 3" xfId="22152"/>
    <cellStyle name="Ввод  2 2 2 3 2 4" xfId="19053"/>
    <cellStyle name="Ввод  2 2 2 3 2 4 2" xfId="22461"/>
    <cellStyle name="Ввод  2 2 2 3 2 5" xfId="23175"/>
    <cellStyle name="Ввод  2 2 2 3 2 6" xfId="20084"/>
    <cellStyle name="Ввод  2 2 2 3 2 7" xfId="23703"/>
    <cellStyle name="Ввод  2 2 2 3 3" xfId="5506"/>
    <cellStyle name="Ввод  2 2 2 3 3 2" xfId="5841"/>
    <cellStyle name="Ввод  2 2 2 3 3 2 2" xfId="21710"/>
    <cellStyle name="Ввод  2 2 2 3 3 2 3" xfId="22764"/>
    <cellStyle name="Ввод  2 2 2 3 3 2 4" xfId="19539"/>
    <cellStyle name="Ввод  2 2 2 3 3 2 5" xfId="23541"/>
    <cellStyle name="Ввод  2 2 2 3 3 2 6" xfId="20345"/>
    <cellStyle name="Ввод  2 2 2 3 3 2 7" xfId="21468"/>
    <cellStyle name="Ввод  2 2 2 3 3 3" xfId="6176"/>
    <cellStyle name="Ввод  2 2 2 3 3 3 2" xfId="23978"/>
    <cellStyle name="Ввод  2 2 2 3 3 3 3" xfId="19438"/>
    <cellStyle name="Ввод  2 2 2 3 3 4" xfId="19021"/>
    <cellStyle name="Ввод  2 2 2 3 3 4 2" xfId="22429"/>
    <cellStyle name="Ввод  2 2 2 3 3 5" xfId="23381"/>
    <cellStyle name="Ввод  2 2 2 3 3 6" xfId="22225"/>
    <cellStyle name="Ввод  2 2 2 3 3 7" xfId="19300"/>
    <cellStyle name="Ввод  2 2 2 3 4" xfId="5570"/>
    <cellStyle name="Ввод  2 2 2 3 4 2" xfId="22123"/>
    <cellStyle name="Ввод  2 2 2 3 4 3" xfId="22493"/>
    <cellStyle name="Ввод  2 2 2 3 4 4" xfId="23300"/>
    <cellStyle name="Ввод  2 2 2 3 4 5" xfId="20446"/>
    <cellStyle name="Ввод  2 2 2 3 4 6" xfId="21757"/>
    <cellStyle name="Ввод  2 2 2 3 4 7" xfId="21271"/>
    <cellStyle name="Ввод  2 2 2 3 5" xfId="5905"/>
    <cellStyle name="Ввод  2 2 2 3 5 2" xfId="19615"/>
    <cellStyle name="Ввод  2 2 2 3 5 3" xfId="22828"/>
    <cellStyle name="Ввод  2 2 2 3 5 4" xfId="20952"/>
    <cellStyle name="Ввод  2 2 2 3 5 5" xfId="20824"/>
    <cellStyle name="Ввод  2 2 2 3 5 6" xfId="20353"/>
    <cellStyle name="Ввод  2 2 2 3 5 7" xfId="21532"/>
    <cellStyle name="Ввод  2 2 2 3 6" xfId="6240"/>
    <cellStyle name="Ввод  2 2 2 3 6 2" xfId="24042"/>
    <cellStyle name="Ввод  2 2 2 3 6 3" xfId="22137"/>
    <cellStyle name="Ввод  2 2 2 3 7" xfId="19085"/>
    <cellStyle name="Ввод  2 2 2 3 7 2" xfId="19323"/>
    <cellStyle name="Ввод  2 2 2 3 8" xfId="19294"/>
    <cellStyle name="Ввод  2 2 2 3 9" xfId="20502"/>
    <cellStyle name="Ввод  2 2 2 4" xfId="5390"/>
    <cellStyle name="Ввод  2 2 2 4 2" xfId="22131"/>
    <cellStyle name="Ввод  2 2 2 4 3" xfId="22313"/>
    <cellStyle name="Ввод  2 2 2 4 4" xfId="20211"/>
    <cellStyle name="Ввод  2 2 2 4 5" xfId="21944"/>
    <cellStyle name="Ввод  2 2 2 4 6" xfId="20816"/>
    <cellStyle name="Ввод  2 2 2 4 7" xfId="21196"/>
    <cellStyle name="Ввод  2 2 2 5" xfId="5725"/>
    <cellStyle name="Ввод  2 2 2 5 2" xfId="19277"/>
    <cellStyle name="Ввод  2 2 2 5 3" xfId="22648"/>
    <cellStyle name="Ввод  2 2 2 5 4" xfId="19604"/>
    <cellStyle name="Ввод  2 2 2 5 5" xfId="23565"/>
    <cellStyle name="Ввод  2 2 2 5 6" xfId="19687"/>
    <cellStyle name="Ввод  2 2 2 5 7" xfId="21352"/>
    <cellStyle name="Ввод  2 2 2 6" xfId="6060"/>
    <cellStyle name="Ввод  2 2 2 6 2" xfId="23862"/>
    <cellStyle name="Ввод  2 2 2 6 3" xfId="19618"/>
    <cellStyle name="Ввод  2 2 2 7" xfId="18905"/>
    <cellStyle name="Ввод  2 2 2 7 2" xfId="22144"/>
    <cellStyle name="Ввод  2 2 2 8" xfId="20870"/>
    <cellStyle name="Ввод  2 2 2 9" xfId="20879"/>
    <cellStyle name="Ввод  2 2 3" xfId="1187"/>
    <cellStyle name="Ввод  2 2 3 2" xfId="3263"/>
    <cellStyle name="Ввод  2 2 3 2 10" xfId="20840"/>
    <cellStyle name="Ввод  2 2 3 2 2" xfId="5499"/>
    <cellStyle name="Ввод  2 2 3 2 2 2" xfId="5834"/>
    <cellStyle name="Ввод  2 2 3 2 2 2 2" xfId="20706"/>
    <cellStyle name="Ввод  2 2 3 2 2 2 3" xfId="22757"/>
    <cellStyle name="Ввод  2 2 3 2 2 2 4" xfId="20131"/>
    <cellStyle name="Ввод  2 2 3 2 2 2 5" xfId="21673"/>
    <cellStyle name="Ввод  2 2 3 2 2 2 6" xfId="20868"/>
    <cellStyle name="Ввод  2 2 3 2 2 2 7" xfId="21461"/>
    <cellStyle name="Ввод  2 2 3 2 2 3" xfId="6169"/>
    <cellStyle name="Ввод  2 2 3 2 2 3 2" xfId="23971"/>
    <cellStyle name="Ввод  2 2 3 2 2 3 3" xfId="19427"/>
    <cellStyle name="Ввод  2 2 3 2 2 4" xfId="19014"/>
    <cellStyle name="Ввод  2 2 3 2 2 4 2" xfId="22422"/>
    <cellStyle name="Ввод  2 2 3 2 2 5" xfId="23247"/>
    <cellStyle name="Ввод  2 2 3 2 2 6" xfId="19885"/>
    <cellStyle name="Ввод  2 2 3 2 2 7" xfId="19342"/>
    <cellStyle name="Ввод  2 2 3 2 3" xfId="5623"/>
    <cellStyle name="Ввод  2 2 3 2 3 2" xfId="5958"/>
    <cellStyle name="Ввод  2 2 3 2 3 2 2" xfId="20997"/>
    <cellStyle name="Ввод  2 2 3 2 3 2 3" xfId="22881"/>
    <cellStyle name="Ввод  2 2 3 2 3 2 4" xfId="19911"/>
    <cellStyle name="Ввод  2 2 3 2 3 2 5" xfId="21758"/>
    <cellStyle name="Ввод  2 2 3 2 3 2 6" xfId="19498"/>
    <cellStyle name="Ввод  2 2 3 2 3 2 7" xfId="21585"/>
    <cellStyle name="Ввод  2 2 3 2 3 3" xfId="6293"/>
    <cellStyle name="Ввод  2 2 3 2 3 3 2" xfId="24095"/>
    <cellStyle name="Ввод  2 2 3 2 3 3 3" xfId="20198"/>
    <cellStyle name="Ввод  2 2 3 2 3 4" xfId="19138"/>
    <cellStyle name="Ввод  2 2 3 2 3 4 2" xfId="22546"/>
    <cellStyle name="Ввод  2 2 3 2 3 5" xfId="23061"/>
    <cellStyle name="Ввод  2 2 3 2 3 6" xfId="21155"/>
    <cellStyle name="Ввод  2 2 3 2 3 7" xfId="19523"/>
    <cellStyle name="Ввод  2 2 3 2 4" xfId="5580"/>
    <cellStyle name="Ввод  2 2 3 2 4 2" xfId="19680"/>
    <cellStyle name="Ввод  2 2 3 2 4 3" xfId="22503"/>
    <cellStyle name="Ввод  2 2 3 2 4 4" xfId="23199"/>
    <cellStyle name="Ввод  2 2 3 2 4 5" xfId="20175"/>
    <cellStyle name="Ввод  2 2 3 2 4 6" xfId="19496"/>
    <cellStyle name="Ввод  2 2 3 2 4 7" xfId="21281"/>
    <cellStyle name="Ввод  2 2 3 2 5" xfId="5915"/>
    <cellStyle name="Ввод  2 2 3 2 5 2" xfId="19483"/>
    <cellStyle name="Ввод  2 2 3 2 5 3" xfId="22838"/>
    <cellStyle name="Ввод  2 2 3 2 5 4" xfId="19926"/>
    <cellStyle name="Ввод  2 2 3 2 5 5" xfId="21134"/>
    <cellStyle name="Ввод  2 2 3 2 5 6" xfId="20949"/>
    <cellStyle name="Ввод  2 2 3 2 5 7" xfId="21542"/>
    <cellStyle name="Ввод  2 2 3 2 6" xfId="6250"/>
    <cellStyle name="Ввод  2 2 3 2 6 2" xfId="24052"/>
    <cellStyle name="Ввод  2 2 3 2 6 3" xfId="19247"/>
    <cellStyle name="Ввод  2 2 3 2 7" xfId="19095"/>
    <cellStyle name="Ввод  2 2 3 2 7 2" xfId="20036"/>
    <cellStyle name="Ввод  2 2 3 2 8" xfId="20833"/>
    <cellStyle name="Ввод  2 2 3 2 9" xfId="23318"/>
    <cellStyle name="Ввод  2 2 3 3" xfId="5400"/>
    <cellStyle name="Ввод  2 2 3 3 2" xfId="21871"/>
    <cellStyle name="Ввод  2 2 3 3 3" xfId="22323"/>
    <cellStyle name="Ввод  2 2 3 3 4" xfId="23237"/>
    <cellStyle name="Ввод  2 2 3 3 5" xfId="19819"/>
    <cellStyle name="Ввод  2 2 3 3 6" xfId="23824"/>
    <cellStyle name="Ввод  2 2 3 3 7" xfId="21206"/>
    <cellStyle name="Ввод  2 2 3 4" xfId="5735"/>
    <cellStyle name="Ввод  2 2 3 4 2" xfId="19473"/>
    <cellStyle name="Ввод  2 2 3 4 3" xfId="22658"/>
    <cellStyle name="Ввод  2 2 3 4 4" xfId="20219"/>
    <cellStyle name="Ввод  2 2 3 4 5" xfId="20053"/>
    <cellStyle name="Ввод  2 2 3 4 6" xfId="22973"/>
    <cellStyle name="Ввод  2 2 3 4 7" xfId="21362"/>
    <cellStyle name="Ввод  2 2 3 5" xfId="6070"/>
    <cellStyle name="Ввод  2 2 3 5 2" xfId="23872"/>
    <cellStyle name="Ввод  2 2 3 5 3" xfId="19732"/>
    <cellStyle name="Ввод  2 2 3 6" xfId="18915"/>
    <cellStyle name="Ввод  2 2 3 6 2" xfId="20925"/>
    <cellStyle name="Ввод  2 2 3 7" xfId="19884"/>
    <cellStyle name="Ввод  2 2 3 8" xfId="20776"/>
    <cellStyle name="Ввод  2 2 3 9" xfId="19511"/>
    <cellStyle name="Ввод  2 2 4" xfId="1719"/>
    <cellStyle name="Ввод  2 2 4 2" xfId="3277"/>
    <cellStyle name="Ввод  2 2 4 2 10" xfId="20604"/>
    <cellStyle name="Ввод  2 2 4 2 2" xfId="5453"/>
    <cellStyle name="Ввод  2 2 4 2 2 2" xfId="5788"/>
    <cellStyle name="Ввод  2 2 4 2 2 2 2" xfId="21004"/>
    <cellStyle name="Ввод  2 2 4 2 2 2 3" xfId="22711"/>
    <cellStyle name="Ввод  2 2 4 2 2 2 4" xfId="19518"/>
    <cellStyle name="Ввод  2 2 4 2 2 2 5" xfId="20808"/>
    <cellStyle name="Ввод  2 2 4 2 2 2 6" xfId="21770"/>
    <cellStyle name="Ввод  2 2 4 2 2 2 7" xfId="21415"/>
    <cellStyle name="Ввод  2 2 4 2 2 3" xfId="6123"/>
    <cellStyle name="Ввод  2 2 4 2 2 3 2" xfId="23925"/>
    <cellStyle name="Ввод  2 2 4 2 2 3 3" xfId="20333"/>
    <cellStyle name="Ввод  2 2 4 2 2 4" xfId="18968"/>
    <cellStyle name="Ввод  2 2 4 2 2 4 2" xfId="22376"/>
    <cellStyle name="Ввод  2 2 4 2 2 5" xfId="23224"/>
    <cellStyle name="Ввод  2 2 4 2 2 6" xfId="20341"/>
    <cellStyle name="Ввод  2 2 4 2 2 7" xfId="20054"/>
    <cellStyle name="Ввод  2 2 4 2 3" xfId="5490"/>
    <cellStyle name="Ввод  2 2 4 2 3 2" xfId="5825"/>
    <cellStyle name="Ввод  2 2 4 2 3 2 2" xfId="20078"/>
    <cellStyle name="Ввод  2 2 4 2 3 2 3" xfId="22748"/>
    <cellStyle name="Ввод  2 2 4 2 3 2 4" xfId="20933"/>
    <cellStyle name="Ввод  2 2 4 2 3 2 5" xfId="19416"/>
    <cellStyle name="Ввод  2 2 4 2 3 2 6" xfId="21726"/>
    <cellStyle name="Ввод  2 2 4 2 3 2 7" xfId="21452"/>
    <cellStyle name="Ввод  2 2 4 2 3 3" xfId="6160"/>
    <cellStyle name="Ввод  2 2 4 2 3 3 2" xfId="23962"/>
    <cellStyle name="Ввод  2 2 4 2 3 3 3" xfId="22178"/>
    <cellStyle name="Ввод  2 2 4 2 3 4" xfId="19005"/>
    <cellStyle name="Ввод  2 2 4 2 3 4 2" xfId="22413"/>
    <cellStyle name="Ввод  2 2 4 2 3 5" xfId="20313"/>
    <cellStyle name="Ввод  2 2 4 2 3 6" xfId="19847"/>
    <cellStyle name="Ввод  2 2 4 2 3 7" xfId="23564"/>
    <cellStyle name="Ввод  2 2 4 2 4" xfId="5594"/>
    <cellStyle name="Ввод  2 2 4 2 4 2" xfId="21951"/>
    <cellStyle name="Ввод  2 2 4 2 4 3" xfId="22517"/>
    <cellStyle name="Ввод  2 2 4 2 4 4" xfId="23077"/>
    <cellStyle name="Ввод  2 2 4 2 4 5" xfId="21824"/>
    <cellStyle name="Ввод  2 2 4 2 4 6" xfId="19301"/>
    <cellStyle name="Ввод  2 2 4 2 4 7" xfId="21295"/>
    <cellStyle name="Ввод  2 2 4 2 5" xfId="5929"/>
    <cellStyle name="Ввод  2 2 4 2 5 2" xfId="20043"/>
    <cellStyle name="Ввод  2 2 4 2 5 3" xfId="22852"/>
    <cellStyle name="Ввод  2 2 4 2 5 4" xfId="20289"/>
    <cellStyle name="Ввод  2 2 4 2 5 5" xfId="19329"/>
    <cellStyle name="Ввод  2 2 4 2 5 6" xfId="19897"/>
    <cellStyle name="Ввод  2 2 4 2 5 7" xfId="21556"/>
    <cellStyle name="Ввод  2 2 4 2 6" xfId="6264"/>
    <cellStyle name="Ввод  2 2 4 2 6 2" xfId="24066"/>
    <cellStyle name="Ввод  2 2 4 2 6 3" xfId="20124"/>
    <cellStyle name="Ввод  2 2 4 2 7" xfId="19109"/>
    <cellStyle name="Ввод  2 2 4 2 7 2" xfId="20037"/>
    <cellStyle name="Ввод  2 2 4 2 8" xfId="22258"/>
    <cellStyle name="Ввод  2 2 4 2 9" xfId="23383"/>
    <cellStyle name="Ввод  2 2 4 3" xfId="5414"/>
    <cellStyle name="Ввод  2 2 4 3 2" xfId="22110"/>
    <cellStyle name="Ввод  2 2 4 3 3" xfId="22337"/>
    <cellStyle name="Ввод  2 2 4 3 4" xfId="23049"/>
    <cellStyle name="Ввод  2 2 4 3 5" xfId="23256"/>
    <cellStyle name="Ввод  2 2 4 3 6" xfId="23788"/>
    <cellStyle name="Ввод  2 2 4 3 7" xfId="21220"/>
    <cellStyle name="Ввод  2 2 4 4" xfId="5749"/>
    <cellStyle name="Ввод  2 2 4 4 2" xfId="20125"/>
    <cellStyle name="Ввод  2 2 4 4 3" xfId="22672"/>
    <cellStyle name="Ввод  2 2 4 4 4" xfId="20215"/>
    <cellStyle name="Ввод  2 2 4 4 5" xfId="21074"/>
    <cellStyle name="Ввод  2 2 4 4 6" xfId="23664"/>
    <cellStyle name="Ввод  2 2 4 4 7" xfId="21376"/>
    <cellStyle name="Ввод  2 2 4 5" xfId="6084"/>
    <cellStyle name="Ввод  2 2 4 5 2" xfId="23886"/>
    <cellStyle name="Ввод  2 2 4 5 3" xfId="20932"/>
    <cellStyle name="Ввод  2 2 4 6" xfId="18929"/>
    <cellStyle name="Ввод  2 2 4 6 2" xfId="21099"/>
    <cellStyle name="Ввод  2 2 4 7" xfId="21696"/>
    <cellStyle name="Ввод  2 2 4 8" xfId="22222"/>
    <cellStyle name="Ввод  2 2 4 9" xfId="23563"/>
    <cellStyle name="Ввод  2 2 5" xfId="2951"/>
    <cellStyle name="Ввод  2 2 5 10" xfId="23794"/>
    <cellStyle name="Ввод  2 2 5 2" xfId="5619"/>
    <cellStyle name="Ввод  2 2 5 2 2" xfId="5954"/>
    <cellStyle name="Ввод  2 2 5 2 2 2" xfId="19647"/>
    <cellStyle name="Ввод  2 2 5 2 2 3" xfId="22877"/>
    <cellStyle name="Ввод  2 2 5 2 2 4" xfId="20896"/>
    <cellStyle name="Ввод  2 2 5 2 2 5" xfId="23337"/>
    <cellStyle name="Ввод  2 2 5 2 2 6" xfId="19209"/>
    <cellStyle name="Ввод  2 2 5 2 2 7" xfId="21581"/>
    <cellStyle name="Ввод  2 2 5 2 3" xfId="6289"/>
    <cellStyle name="Ввод  2 2 5 2 3 2" xfId="24091"/>
    <cellStyle name="Ввод  2 2 5 2 3 3" xfId="21897"/>
    <cellStyle name="Ввод  2 2 5 2 4" xfId="19134"/>
    <cellStyle name="Ввод  2 2 5 2 4 2" xfId="22542"/>
    <cellStyle name="Ввод  2 2 5 2 5" xfId="23141"/>
    <cellStyle name="Ввод  2 2 5 2 6" xfId="19560"/>
    <cellStyle name="Ввод  2 2 5 2 7" xfId="23789"/>
    <cellStyle name="Ввод  2 2 5 3" xfId="5679"/>
    <cellStyle name="Ввод  2 2 5 3 2" xfId="6014"/>
    <cellStyle name="Ввод  2 2 5 3 2 2" xfId="20560"/>
    <cellStyle name="Ввод  2 2 5 3 2 3" xfId="22937"/>
    <cellStyle name="Ввод  2 2 5 3 2 4" xfId="23409"/>
    <cellStyle name="Ввод  2 2 5 3 2 5" xfId="23635"/>
    <cellStyle name="Ввод  2 2 5 3 2 6" xfId="23580"/>
    <cellStyle name="Ввод  2 2 5 3 2 7" xfId="21641"/>
    <cellStyle name="Ввод  2 2 5 3 3" xfId="6349"/>
    <cellStyle name="Ввод  2 2 5 3 3 2" xfId="24151"/>
    <cellStyle name="Ввод  2 2 5 3 3 3" xfId="19811"/>
    <cellStyle name="Ввод  2 2 5 3 4" xfId="19194"/>
    <cellStyle name="Ввод  2 2 5 3 4 2" xfId="22602"/>
    <cellStyle name="Ввод  2 2 5 3 5" xfId="23270"/>
    <cellStyle name="Ввод  2 2 5 3 6" xfId="19671"/>
    <cellStyle name="Ввод  2 2 5 3 7" xfId="19537"/>
    <cellStyle name="Ввод  2 2 5 4" xfId="5377"/>
    <cellStyle name="Ввод  2 2 5 4 2" xfId="22046"/>
    <cellStyle name="Ввод  2 2 5 4 3" xfId="22300"/>
    <cellStyle name="Ввод  2 2 5 4 4" xfId="23165"/>
    <cellStyle name="Ввод  2 2 5 4 5" xfId="20045"/>
    <cellStyle name="Ввод  2 2 5 4 6" xfId="23746"/>
    <cellStyle name="Ввод  2 2 5 4 7" xfId="21183"/>
    <cellStyle name="Ввод  2 2 5 5" xfId="5712"/>
    <cellStyle name="Ввод  2 2 5 5 2" xfId="22157"/>
    <cellStyle name="Ввод  2 2 5 5 3" xfId="22635"/>
    <cellStyle name="Ввод  2 2 5 5 4" xfId="20489"/>
    <cellStyle name="Ввод  2 2 5 5 5" xfId="19494"/>
    <cellStyle name="Ввод  2 2 5 5 6" xfId="23804"/>
    <cellStyle name="Ввод  2 2 5 5 7" xfId="21339"/>
    <cellStyle name="Ввод  2 2 5 6" xfId="6047"/>
    <cellStyle name="Ввод  2 2 5 6 2" xfId="23849"/>
    <cellStyle name="Ввод  2 2 5 6 3" xfId="22165"/>
    <cellStyle name="Ввод  2 2 5 7" xfId="18892"/>
    <cellStyle name="Ввод  2 2 5 7 2" xfId="21125"/>
    <cellStyle name="Ввод  2 2 5 8" xfId="19299"/>
    <cellStyle name="Ввод  2 2 5 9" xfId="20971"/>
    <cellStyle name="Ввод  2 2 6" xfId="3237"/>
    <cellStyle name="Ввод  2 2 6 10" xfId="22233"/>
    <cellStyle name="Ввод  2 2 6 2" xfId="5464"/>
    <cellStyle name="Ввод  2 2 6 2 2" xfId="5799"/>
    <cellStyle name="Ввод  2 2 6 2 2 2" xfId="19593"/>
    <cellStyle name="Ввод  2 2 6 2 2 3" xfId="22722"/>
    <cellStyle name="Ввод  2 2 6 2 2 4" xfId="21873"/>
    <cellStyle name="Ввод  2 2 6 2 2 5" xfId="23604"/>
    <cellStyle name="Ввод  2 2 6 2 2 6" xfId="23572"/>
    <cellStyle name="Ввод  2 2 6 2 2 7" xfId="21426"/>
    <cellStyle name="Ввод  2 2 6 2 3" xfId="6134"/>
    <cellStyle name="Ввод  2 2 6 2 3 2" xfId="23936"/>
    <cellStyle name="Ввод  2 2 6 2 3 3" xfId="19822"/>
    <cellStyle name="Ввод  2 2 6 2 4" xfId="18979"/>
    <cellStyle name="Ввод  2 2 6 2 4 2" xfId="22387"/>
    <cellStyle name="Ввод  2 2 6 2 5" xfId="23013"/>
    <cellStyle name="Ввод  2 2 6 2 6" xfId="23365"/>
    <cellStyle name="Ввод  2 2 6 2 7" xfId="20214"/>
    <cellStyle name="Ввод  2 2 6 3" xfId="5480"/>
    <cellStyle name="Ввод  2 2 6 3 2" xfId="5815"/>
    <cellStyle name="Ввод  2 2 6 3 2 2" xfId="21860"/>
    <cellStyle name="Ввод  2 2 6 3 2 3" xfId="22738"/>
    <cellStyle name="Ввод  2 2 6 3 2 4" xfId="20676"/>
    <cellStyle name="Ввод  2 2 6 3 2 5" xfId="23130"/>
    <cellStyle name="Ввод  2 2 6 3 2 6" xfId="20903"/>
    <cellStyle name="Ввод  2 2 6 3 2 7" xfId="21442"/>
    <cellStyle name="Ввод  2 2 6 3 3" xfId="6150"/>
    <cellStyle name="Ввод  2 2 6 3 3 2" xfId="23952"/>
    <cellStyle name="Ввод  2 2 6 3 3 3" xfId="21982"/>
    <cellStyle name="Ввод  2 2 6 3 4" xfId="18995"/>
    <cellStyle name="Ввод  2 2 6 3 4 2" xfId="22403"/>
    <cellStyle name="Ввод  2 2 6 3 5" xfId="23062"/>
    <cellStyle name="Ввод  2 2 6 3 6" xfId="23439"/>
    <cellStyle name="Ввод  2 2 6 3 7" xfId="20443"/>
    <cellStyle name="Ввод  2 2 6 4" xfId="5554"/>
    <cellStyle name="Ввод  2 2 6 4 2" xfId="20968"/>
    <cellStyle name="Ввод  2 2 6 4 3" xfId="22477"/>
    <cellStyle name="Ввод  2 2 6 4 4" xfId="23229"/>
    <cellStyle name="Ввод  2 2 6 4 5" xfId="19971"/>
    <cellStyle name="Ввод  2 2 6 4 6" xfId="20147"/>
    <cellStyle name="Ввод  2 2 6 4 7" xfId="21255"/>
    <cellStyle name="Ввод  2 2 6 5" xfId="5889"/>
    <cellStyle name="Ввод  2 2 6 5 2" xfId="20814"/>
    <cellStyle name="Ввод  2 2 6 5 3" xfId="22812"/>
    <cellStyle name="Ввод  2 2 6 5 4" xfId="20669"/>
    <cellStyle name="Ввод  2 2 6 5 5" xfId="19676"/>
    <cellStyle name="Ввод  2 2 6 5 6" xfId="20753"/>
    <cellStyle name="Ввод  2 2 6 5 7" xfId="21516"/>
    <cellStyle name="Ввод  2 2 6 6" xfId="6224"/>
    <cellStyle name="Ввод  2 2 6 6 2" xfId="24026"/>
    <cellStyle name="Ввод  2 2 6 6 3" xfId="20864"/>
    <cellStyle name="Ввод  2 2 6 7" xfId="19069"/>
    <cellStyle name="Ввод  2 2 6 7 2" xfId="20990"/>
    <cellStyle name="Ввод  2 2 6 8" xfId="21952"/>
    <cellStyle name="Ввод  2 2 6 9" xfId="20593"/>
    <cellStyle name="Ввод  2 2 7" xfId="5357"/>
    <cellStyle name="Ввод  2 2 7 2" xfId="19257"/>
    <cellStyle name="Ввод  2 2 7 3" xfId="22280"/>
    <cellStyle name="Ввод  2 2 7 4" xfId="22991"/>
    <cellStyle name="Ввод  2 2 7 5" xfId="20275"/>
    <cellStyle name="Ввод  2 2 7 6" xfId="20360"/>
    <cellStyle name="Ввод  2 2 7 7" xfId="21163"/>
    <cellStyle name="Ввод  2 2 8" xfId="5692"/>
    <cellStyle name="Ввод  2 2 8 2" xfId="22193"/>
    <cellStyle name="Ввод  2 2 8 3" xfId="22615"/>
    <cellStyle name="Ввод  2 2 8 4" xfId="23228"/>
    <cellStyle name="Ввод  2 2 8 5" xfId="23628"/>
    <cellStyle name="Ввод  2 2 8 6" xfId="19273"/>
    <cellStyle name="Ввод  2 2 8 7" xfId="21319"/>
    <cellStyle name="Ввод  2 2 9" xfId="6027"/>
    <cellStyle name="Ввод  2 2 9 2" xfId="23829"/>
    <cellStyle name="Ввод  2 2 9 3" xfId="21754"/>
    <cellStyle name="Ввод  2 3" xfId="119"/>
    <cellStyle name="Ввод  2 3 10" xfId="23174"/>
    <cellStyle name="Ввод  2 3 2" xfId="1720"/>
    <cellStyle name="Ввод  2 3 2 2" xfId="3278"/>
    <cellStyle name="Ввод  2 3 2 2 10" xfId="22201"/>
    <cellStyle name="Ввод  2 3 2 2 2" xfId="5650"/>
    <cellStyle name="Ввод  2 3 2 2 2 2" xfId="5985"/>
    <cellStyle name="Ввод  2 3 2 2 2 2 2" xfId="20471"/>
    <cellStyle name="Ввод  2 3 2 2 2 2 3" xfId="22908"/>
    <cellStyle name="Ввод  2 3 2 2 2 2 4" xfId="19945"/>
    <cellStyle name="Ввод  2 3 2 2 2 2 5" xfId="22191"/>
    <cellStyle name="Ввод  2 3 2 2 2 2 6" xfId="20266"/>
    <cellStyle name="Ввод  2 3 2 2 2 2 7" xfId="21612"/>
    <cellStyle name="Ввод  2 3 2 2 2 3" xfId="6320"/>
    <cellStyle name="Ввод  2 3 2 2 2 3 2" xfId="24122"/>
    <cellStyle name="Ввод  2 3 2 2 2 3 3" xfId="20827"/>
    <cellStyle name="Ввод  2 3 2 2 2 4" xfId="19165"/>
    <cellStyle name="Ввод  2 3 2 2 2 4 2" xfId="22573"/>
    <cellStyle name="Ввод  2 3 2 2 2 5" xfId="23109"/>
    <cellStyle name="Ввод  2 3 2 2 2 6" xfId="20303"/>
    <cellStyle name="Ввод  2 3 2 2 2 7" xfId="20609"/>
    <cellStyle name="Ввод  2 3 2 2 3" xfId="5659"/>
    <cellStyle name="Ввод  2 3 2 2 3 2" xfId="5994"/>
    <cellStyle name="Ввод  2 3 2 2 3 2 2" xfId="21124"/>
    <cellStyle name="Ввод  2 3 2 2 3 2 3" xfId="22917"/>
    <cellStyle name="Ввод  2 3 2 2 3 2 4" xfId="23389"/>
    <cellStyle name="Ввод  2 3 2 2 3 2 5" xfId="23567"/>
    <cellStyle name="Ввод  2 3 2 2 3 2 6" xfId="19643"/>
    <cellStyle name="Ввод  2 3 2 2 3 2 7" xfId="21621"/>
    <cellStyle name="Ввод  2 3 2 2 3 3" xfId="6329"/>
    <cellStyle name="Ввод  2 3 2 2 3 3 2" xfId="24131"/>
    <cellStyle name="Ввод  2 3 2 2 3 3 3" xfId="20843"/>
    <cellStyle name="Ввод  2 3 2 2 3 4" xfId="19174"/>
    <cellStyle name="Ввод  2 3 2 2 3 4 2" xfId="22582"/>
    <cellStyle name="Ввод  2 3 2 2 3 5" xfId="23182"/>
    <cellStyle name="Ввод  2 3 2 2 3 6" xfId="19776"/>
    <cellStyle name="Ввод  2 3 2 2 3 7" xfId="20777"/>
    <cellStyle name="Ввод  2 3 2 2 4" xfId="5595"/>
    <cellStyle name="Ввод  2 3 2 2 4 2" xfId="22126"/>
    <cellStyle name="Ввод  2 3 2 2 4 3" xfId="22518"/>
    <cellStyle name="Ввод  2 3 2 2 4 4" xfId="20350"/>
    <cellStyle name="Ввод  2 3 2 2 4 5" xfId="20358"/>
    <cellStyle name="Ввод  2 3 2 2 4 6" xfId="22241"/>
    <cellStyle name="Ввод  2 3 2 2 4 7" xfId="21296"/>
    <cellStyle name="Ввод  2 3 2 2 5" xfId="5930"/>
    <cellStyle name="Ввод  2 3 2 2 5 2" xfId="19704"/>
    <cellStyle name="Ввод  2 3 2 2 5 3" xfId="22853"/>
    <cellStyle name="Ввод  2 3 2 2 5 4" xfId="19216"/>
    <cellStyle name="Ввод  2 3 2 2 5 5" xfId="23603"/>
    <cellStyle name="Ввод  2 3 2 2 5 6" xfId="20390"/>
    <cellStyle name="Ввод  2 3 2 2 5 7" xfId="21557"/>
    <cellStyle name="Ввод  2 3 2 2 6" xfId="6265"/>
    <cellStyle name="Ввод  2 3 2 2 6 2" xfId="24067"/>
    <cellStyle name="Ввод  2 3 2 2 6 3" xfId="19319"/>
    <cellStyle name="Ввод  2 3 2 2 7" xfId="19110"/>
    <cellStyle name="Ввод  2 3 2 2 7 2" xfId="20678"/>
    <cellStyle name="Ввод  2 3 2 2 8" xfId="20515"/>
    <cellStyle name="Ввод  2 3 2 2 9" xfId="23611"/>
    <cellStyle name="Ввод  2 3 2 3" xfId="5415"/>
    <cellStyle name="Ввод  2 3 2 3 2" xfId="20985"/>
    <cellStyle name="Ввод  2 3 2 3 3" xfId="22338"/>
    <cellStyle name="Ввод  2 3 2 3 4" xfId="20812"/>
    <cellStyle name="Ввод  2 3 2 3 5" xfId="22266"/>
    <cellStyle name="Ввод  2 3 2 3 6" xfId="20247"/>
    <cellStyle name="Ввод  2 3 2 3 7" xfId="21221"/>
    <cellStyle name="Ввод  2 3 2 4" xfId="5750"/>
    <cellStyle name="Ввод  2 3 2 4 2" xfId="20077"/>
    <cellStyle name="Ввод  2 3 2 4 3" xfId="22673"/>
    <cellStyle name="Ввод  2 3 2 4 4" xfId="20984"/>
    <cellStyle name="Ввод  2 3 2 4 5" xfId="19757"/>
    <cellStyle name="Ввод  2 3 2 4 6" xfId="23593"/>
    <cellStyle name="Ввод  2 3 2 4 7" xfId="21377"/>
    <cellStyle name="Ввод  2 3 2 5" xfId="6085"/>
    <cellStyle name="Ввод  2 3 2 5 2" xfId="23887"/>
    <cellStyle name="Ввод  2 3 2 5 3" xfId="20527"/>
    <cellStyle name="Ввод  2 3 2 6" xfId="18930"/>
    <cellStyle name="Ввод  2 3 2 6 2" xfId="20127"/>
    <cellStyle name="Ввод  2 3 2 7" xfId="20284"/>
    <cellStyle name="Ввод  2 3 2 8" xfId="20181"/>
    <cellStyle name="Ввод  2 3 2 9" xfId="19764"/>
    <cellStyle name="Ввод  2 3 3" xfId="3238"/>
    <cellStyle name="Ввод  2 3 3 10" xfId="23660"/>
    <cellStyle name="Ввод  2 3 3 2" xfId="5461"/>
    <cellStyle name="Ввод  2 3 3 2 2" xfId="5796"/>
    <cellStyle name="Ввод  2 3 3 2 2 2" xfId="21747"/>
    <cellStyle name="Ввод  2 3 3 2 2 3" xfId="22719"/>
    <cellStyle name="Ввод  2 3 3 2 2 4" xfId="20995"/>
    <cellStyle name="Ввод  2 3 3 2 2 5" xfId="22176"/>
    <cellStyle name="Ввод  2 3 3 2 2 6" xfId="20921"/>
    <cellStyle name="Ввод  2 3 3 2 2 7" xfId="21423"/>
    <cellStyle name="Ввод  2 3 3 2 3" xfId="6131"/>
    <cellStyle name="Ввод  2 3 3 2 3 2" xfId="23933"/>
    <cellStyle name="Ввод  2 3 3 2 3 3" xfId="21934"/>
    <cellStyle name="Ввод  2 3 3 2 4" xfId="18976"/>
    <cellStyle name="Ввод  2 3 3 2 4 2" xfId="22384"/>
    <cellStyle name="Ввод  2 3 3 2 5" xfId="19966"/>
    <cellStyle name="Ввод  2 3 3 2 6" xfId="21695"/>
    <cellStyle name="Ввод  2 3 3 2 7" xfId="23734"/>
    <cellStyle name="Ввод  2 3 3 3" xfId="5664"/>
    <cellStyle name="Ввод  2 3 3 3 2" xfId="5999"/>
    <cellStyle name="Ввод  2 3 3 3 2 2" xfId="21040"/>
    <cellStyle name="Ввод  2 3 3 3 2 3" xfId="22922"/>
    <cellStyle name="Ввод  2 3 3 3 2 4" xfId="23394"/>
    <cellStyle name="Ввод  2 3 3 3 2 5" xfId="19677"/>
    <cellStyle name="Ввод  2 3 3 3 2 6" xfId="23097"/>
    <cellStyle name="Ввод  2 3 3 3 2 7" xfId="21626"/>
    <cellStyle name="Ввод  2 3 3 3 3" xfId="6334"/>
    <cellStyle name="Ввод  2 3 3 3 3 2" xfId="24136"/>
    <cellStyle name="Ввод  2 3 3 3 3 3" xfId="22174"/>
    <cellStyle name="Ввод  2 3 3 3 4" xfId="19179"/>
    <cellStyle name="Ввод  2 3 3 3 4 2" xfId="22587"/>
    <cellStyle name="Ввод  2 3 3 3 5" xfId="23018"/>
    <cellStyle name="Ввод  2 3 3 3 6" xfId="21938"/>
    <cellStyle name="Ввод  2 3 3 3 7" xfId="23760"/>
    <cellStyle name="Ввод  2 3 3 4" xfId="5555"/>
    <cellStyle name="Ввод  2 3 3 4 2" xfId="20162"/>
    <cellStyle name="Ввод  2 3 3 4 3" xfId="22478"/>
    <cellStyle name="Ввод  2 3 3 4 4" xfId="23026"/>
    <cellStyle name="Ввод  2 3 3 4 5" xfId="20354"/>
    <cellStyle name="Ввод  2 3 3 4 6" xfId="20297"/>
    <cellStyle name="Ввод  2 3 3 4 7" xfId="21256"/>
    <cellStyle name="Ввод  2 3 3 5" xfId="5890"/>
    <cellStyle name="Ввод  2 3 3 5 2" xfId="20453"/>
    <cellStyle name="Ввод  2 3 3 5 3" xfId="22813"/>
    <cellStyle name="Ввод  2 3 3 5 4" xfId="21049"/>
    <cellStyle name="Ввод  2 3 3 5 5" xfId="19871"/>
    <cellStyle name="Ввод  2 3 3 5 6" xfId="19944"/>
    <cellStyle name="Ввод  2 3 3 5 7" xfId="21517"/>
    <cellStyle name="Ввод  2 3 3 6" xfId="6225"/>
    <cellStyle name="Ввод  2 3 3 6 2" xfId="24027"/>
    <cellStyle name="Ввод  2 3 3 6 3" xfId="20183"/>
    <cellStyle name="Ввод  2 3 3 7" xfId="19070"/>
    <cellStyle name="Ввод  2 3 3 7 2" xfId="20230"/>
    <cellStyle name="Ввод  2 3 3 8" xfId="20336"/>
    <cellStyle name="Ввод  2 3 3 9" xfId="22978"/>
    <cellStyle name="Ввод  2 3 4" xfId="5378"/>
    <cellStyle name="Ввод  2 3 4 2" xfId="19908"/>
    <cellStyle name="Ввод  2 3 4 3" xfId="22301"/>
    <cellStyle name="Ввод  2 3 4 4" xfId="20969"/>
    <cellStyle name="Ввод  2 3 4 5" xfId="22051"/>
    <cellStyle name="Ввод  2 3 4 6" xfId="20263"/>
    <cellStyle name="Ввод  2 3 4 7" xfId="21184"/>
    <cellStyle name="Ввод  2 3 5" xfId="5713"/>
    <cellStyle name="Ввод  2 3 5 2" xfId="19330"/>
    <cellStyle name="Ввод  2 3 5 3" xfId="22636"/>
    <cellStyle name="Ввод  2 3 5 4" xfId="22267"/>
    <cellStyle name="Ввод  2 3 5 5" xfId="20337"/>
    <cellStyle name="Ввод  2 3 5 6" xfId="20830"/>
    <cellStyle name="Ввод  2 3 5 7" xfId="21340"/>
    <cellStyle name="Ввод  2 3 6" xfId="6048"/>
    <cellStyle name="Ввод  2 3 6 2" xfId="23850"/>
    <cellStyle name="Ввод  2 3 6 3" xfId="21106"/>
    <cellStyle name="Ввод  2 3 7" xfId="18893"/>
    <cellStyle name="Ввод  2 3 7 2" xfId="20838"/>
    <cellStyle name="Ввод  2 3 8" xfId="20234"/>
    <cellStyle name="Ввод  2 3 9" xfId="23115"/>
    <cellStyle name="Ввод  2 4" xfId="643"/>
    <cellStyle name="Ввод  2 4 10" xfId="23511"/>
    <cellStyle name="Ввод  2 4 2" xfId="1778"/>
    <cellStyle name="Ввод  2 4 2 2" xfId="3290"/>
    <cellStyle name="Ввод  2 4 2 2 10" xfId="19420"/>
    <cellStyle name="Ввод  2 4 2 2 2" xfId="5485"/>
    <cellStyle name="Ввод  2 4 2 2 2 2" xfId="5820"/>
    <cellStyle name="Ввод  2 4 2 2 2 2 2" xfId="20060"/>
    <cellStyle name="Ввод  2 4 2 2 2 2 3" xfId="22743"/>
    <cellStyle name="Ввод  2 4 2 2 2 2 4" xfId="19526"/>
    <cellStyle name="Ввод  2 4 2 2 2 2 5" xfId="19361"/>
    <cellStyle name="Ввод  2 4 2 2 2 2 6" xfId="21924"/>
    <cellStyle name="Ввод  2 4 2 2 2 2 7" xfId="21447"/>
    <cellStyle name="Ввод  2 4 2 2 2 3" xfId="6155"/>
    <cellStyle name="Ввод  2 4 2 2 2 3 2" xfId="23957"/>
    <cellStyle name="Ввод  2 4 2 2 2 3 3" xfId="19715"/>
    <cellStyle name="Ввод  2 4 2 2 2 4" xfId="19000"/>
    <cellStyle name="Ввод  2 4 2 2 2 4 2" xfId="22408"/>
    <cellStyle name="Ввод  2 4 2 2 2 5" xfId="23144"/>
    <cellStyle name="Ввод  2 4 2 2 2 6" xfId="23594"/>
    <cellStyle name="Ввод  2 4 2 2 2 7" xfId="23774"/>
    <cellStyle name="Ввод  2 4 2 2 3" xfId="5631"/>
    <cellStyle name="Ввод  2 4 2 2 3 2" xfId="5966"/>
    <cellStyle name="Ввод  2 4 2 2 3 2 2" xfId="21100"/>
    <cellStyle name="Ввод  2 4 2 2 3 2 3" xfId="22889"/>
    <cellStyle name="Ввод  2 4 2 2 3 2 4" xfId="20613"/>
    <cellStyle name="Ввод  2 4 2 2 3 2 5" xfId="20157"/>
    <cellStyle name="Ввод  2 4 2 2 3 2 6" xfId="23469"/>
    <cellStyle name="Ввод  2 4 2 2 3 2 7" xfId="21593"/>
    <cellStyle name="Ввод  2 4 2 2 3 3" xfId="6301"/>
    <cellStyle name="Ввод  2 4 2 2 3 3 2" xfId="24103"/>
    <cellStyle name="Ввод  2 4 2 2 3 3 3" xfId="20274"/>
    <cellStyle name="Ввод  2 4 2 2 3 4" xfId="19146"/>
    <cellStyle name="Ввод  2 4 2 2 3 4 2" xfId="22554"/>
    <cellStyle name="Ввод  2 4 2 2 3 5" xfId="23372"/>
    <cellStyle name="Ввод  2 4 2 2 3 6" xfId="20250"/>
    <cellStyle name="Ввод  2 4 2 2 3 7" xfId="21061"/>
    <cellStyle name="Ввод  2 4 2 2 4" xfId="5607"/>
    <cellStyle name="Ввод  2 4 2 2 4 2" xfId="20482"/>
    <cellStyle name="Ввод  2 4 2 2 4 3" xfId="22530"/>
    <cellStyle name="Ввод  2 4 2 2 4 4" xfId="23205"/>
    <cellStyle name="Ввод  2 4 2 2 4 5" xfId="22102"/>
    <cellStyle name="Ввод  2 4 2 2 4 6" xfId="23241"/>
    <cellStyle name="Ввод  2 4 2 2 4 7" xfId="21308"/>
    <cellStyle name="Ввод  2 4 2 2 5" xfId="5942"/>
    <cellStyle name="Ввод  2 4 2 2 5 2" xfId="21052"/>
    <cellStyle name="Ввод  2 4 2 2 5 3" xfId="22865"/>
    <cellStyle name="Ввод  2 4 2 2 5 4" xfId="22029"/>
    <cellStyle name="Ввод  2 4 2 2 5 5" xfId="20849"/>
    <cellStyle name="Ввод  2 4 2 2 5 6" xfId="20919"/>
    <cellStyle name="Ввод  2 4 2 2 5 7" xfId="21569"/>
    <cellStyle name="Ввод  2 4 2 2 6" xfId="6277"/>
    <cellStyle name="Ввод  2 4 2 2 6 2" xfId="24079"/>
    <cellStyle name="Ввод  2 4 2 2 6 3" xfId="20774"/>
    <cellStyle name="Ввод  2 4 2 2 7" xfId="19122"/>
    <cellStyle name="Ввод  2 4 2 2 7 2" xfId="20966"/>
    <cellStyle name="Ввод  2 4 2 2 8" xfId="22207"/>
    <cellStyle name="Ввод  2 4 2 2 9" xfId="22127"/>
    <cellStyle name="Ввод  2 4 2 3" xfId="5427"/>
    <cellStyle name="Ввод  2 4 2 3 2" xfId="19516"/>
    <cellStyle name="Ввод  2 4 2 3 3" xfId="22350"/>
    <cellStyle name="Ввод  2 4 2 3 4" xfId="23022"/>
    <cellStyle name="Ввод  2 4 2 3 5" xfId="20513"/>
    <cellStyle name="Ввод  2 4 2 3 6" xfId="22208"/>
    <cellStyle name="Ввод  2 4 2 3 7" xfId="21233"/>
    <cellStyle name="Ввод  2 4 2 4" xfId="5762"/>
    <cellStyle name="Ввод  2 4 2 4 2" xfId="19349"/>
    <cellStyle name="Ввод  2 4 2 4 3" xfId="22685"/>
    <cellStyle name="Ввод  2 4 2 4 4" xfId="19236"/>
    <cellStyle name="Ввод  2 4 2 4 5" xfId="20893"/>
    <cellStyle name="Ввод  2 4 2 4 6" xfId="23445"/>
    <cellStyle name="Ввод  2 4 2 4 7" xfId="21389"/>
    <cellStyle name="Ввод  2 4 2 5" xfId="6097"/>
    <cellStyle name="Ввод  2 4 2 5 2" xfId="23899"/>
    <cellStyle name="Ввод  2 4 2 5 3" xfId="19217"/>
    <cellStyle name="Ввод  2 4 2 6" xfId="18942"/>
    <cellStyle name="Ввод  2 4 2 6 2" xfId="19937"/>
    <cellStyle name="Ввод  2 4 2 7" xfId="21991"/>
    <cellStyle name="Ввод  2 4 2 8" xfId="19227"/>
    <cellStyle name="Ввод  2 4 2 9" xfId="19935"/>
    <cellStyle name="Ввод  2 4 3" xfId="3252"/>
    <cellStyle name="Ввод  2 4 3 10" xfId="23116"/>
    <cellStyle name="Ввод  2 4 3 2" xfId="5516"/>
    <cellStyle name="Ввод  2 4 3 2 2" xfId="5851"/>
    <cellStyle name="Ввод  2 4 3 2 2 2" xfId="20010"/>
    <cellStyle name="Ввод  2 4 3 2 2 3" xfId="22774"/>
    <cellStyle name="Ввод  2 4 3 2 2 4" xfId="20307"/>
    <cellStyle name="Ввод  2 4 3 2 2 5" xfId="21116"/>
    <cellStyle name="Ввод  2 4 3 2 2 6" xfId="23622"/>
    <cellStyle name="Ввод  2 4 3 2 2 7" xfId="21478"/>
    <cellStyle name="Ввод  2 4 3 2 3" xfId="6186"/>
    <cellStyle name="Ввод  2 4 3 2 3 2" xfId="23988"/>
    <cellStyle name="Ввод  2 4 3 2 3 3" xfId="19845"/>
    <cellStyle name="Ввод  2 4 3 2 4" xfId="19031"/>
    <cellStyle name="Ввод  2 4 3 2 4 2" xfId="22439"/>
    <cellStyle name="Ввод  2 4 3 2 5" xfId="23162"/>
    <cellStyle name="Ввод  2 4 3 2 6" xfId="20334"/>
    <cellStyle name="Ввод  2 4 3 2 7" xfId="19444"/>
    <cellStyle name="Ввод  2 4 3 3" xfId="5640"/>
    <cellStyle name="Ввод  2 4 3 3 2" xfId="5975"/>
    <cellStyle name="Ввод  2 4 3 3 2 2" xfId="20285"/>
    <cellStyle name="Ввод  2 4 3 3 2 3" xfId="22898"/>
    <cellStyle name="Ввод  2 4 3 3 2 4" xfId="19327"/>
    <cellStyle name="Ввод  2 4 3 3 2 5" xfId="19638"/>
    <cellStyle name="Ввод  2 4 3 3 2 6" xfId="23495"/>
    <cellStyle name="Ввод  2 4 3 3 2 7" xfId="21602"/>
    <cellStyle name="Ввод  2 4 3 3 3" xfId="6310"/>
    <cellStyle name="Ввод  2 4 3 3 3 2" xfId="24112"/>
    <cellStyle name="Ввод  2 4 3 3 3 3" xfId="19915"/>
    <cellStyle name="Ввод  2 4 3 3 4" xfId="19155"/>
    <cellStyle name="Ввод  2 4 3 3 4 2" xfId="22563"/>
    <cellStyle name="Ввод  2 4 3 3 5" xfId="23368"/>
    <cellStyle name="Ввод  2 4 3 3 6" xfId="19228"/>
    <cellStyle name="Ввод  2 4 3 3 7" xfId="19953"/>
    <cellStyle name="Ввод  2 4 3 4" xfId="5569"/>
    <cellStyle name="Ввод  2 4 3 4 2" xfId="20189"/>
    <cellStyle name="Ввод  2 4 3 4 3" xfId="22492"/>
    <cellStyle name="Ввод  2 4 3 4 4" xfId="23063"/>
    <cellStyle name="Ввод  2 4 3 4 5" xfId="20318"/>
    <cellStyle name="Ввод  2 4 3 4 6" xfId="20138"/>
    <cellStyle name="Ввод  2 4 3 4 7" xfId="21270"/>
    <cellStyle name="Ввод  2 4 3 5" xfId="5904"/>
    <cellStyle name="Ввод  2 4 3 5 2" xfId="20082"/>
    <cellStyle name="Ввод  2 4 3 5 3" xfId="22827"/>
    <cellStyle name="Ввод  2 4 3 5 4" xfId="20744"/>
    <cellStyle name="Ввод  2 4 3 5 5" xfId="21821"/>
    <cellStyle name="Ввод  2 4 3 5 6" xfId="21743"/>
    <cellStyle name="Ввод  2 4 3 5 7" xfId="21531"/>
    <cellStyle name="Ввод  2 4 3 6" xfId="6239"/>
    <cellStyle name="Ввод  2 4 3 6 2" xfId="24041"/>
    <cellStyle name="Ввод  2 4 3 6 3" xfId="19477"/>
    <cellStyle name="Ввод  2 4 3 7" xfId="19084"/>
    <cellStyle name="Ввод  2 4 3 7 2" xfId="20264"/>
    <cellStyle name="Ввод  2 4 3 8" xfId="21930"/>
    <cellStyle name="Ввод  2 4 3 9" xfId="19410"/>
    <cellStyle name="Ввод  2 4 4" xfId="5389"/>
    <cellStyle name="Ввод  2 4 4 2" xfId="19788"/>
    <cellStyle name="Ввод  2 4 4 3" xfId="22312"/>
    <cellStyle name="Ввод  2 4 4 4" xfId="19406"/>
    <cellStyle name="Ввод  2 4 4 5" xfId="21814"/>
    <cellStyle name="Ввод  2 4 4 6" xfId="20327"/>
    <cellStyle name="Ввод  2 4 4 7" xfId="21195"/>
    <cellStyle name="Ввод  2 4 5" xfId="5724"/>
    <cellStyle name="Ввод  2 4 5 2" xfId="21914"/>
    <cellStyle name="Ввод  2 4 5 3" xfId="22647"/>
    <cellStyle name="Ввод  2 4 5 4" xfId="20242"/>
    <cellStyle name="Ввод  2 4 5 5" xfId="23616"/>
    <cellStyle name="Ввод  2 4 5 6" xfId="23754"/>
    <cellStyle name="Ввод  2 4 5 7" xfId="21351"/>
    <cellStyle name="Ввод  2 4 6" xfId="6059"/>
    <cellStyle name="Ввод  2 4 6 2" xfId="23861"/>
    <cellStyle name="Ввод  2 4 6 3" xfId="21768"/>
    <cellStyle name="Ввод  2 4 7" xfId="18904"/>
    <cellStyle name="Ввод  2 4 7 2" xfId="21013"/>
    <cellStyle name="Ввод  2 4 8" xfId="22054"/>
    <cellStyle name="Ввод  2 4 9" xfId="22251"/>
    <cellStyle name="Ввод  2 5" xfId="1186"/>
    <cellStyle name="Ввод  2 5 2" xfId="3262"/>
    <cellStyle name="Ввод  2 5 2 10" xfId="21123"/>
    <cellStyle name="Ввод  2 5 2 2" xfId="5618"/>
    <cellStyle name="Ввод  2 5 2 2 2" xfId="5953"/>
    <cellStyle name="Ввод  2 5 2 2 2 2" xfId="21823"/>
    <cellStyle name="Ввод  2 5 2 2 2 3" xfId="22876"/>
    <cellStyle name="Ввод  2 5 2 2 2 4" xfId="20940"/>
    <cellStyle name="Ввод  2 5 2 2 2 5" xfId="20765"/>
    <cellStyle name="Ввод  2 5 2 2 2 6" xfId="22206"/>
    <cellStyle name="Ввод  2 5 2 2 2 7" xfId="21580"/>
    <cellStyle name="Ввод  2 5 2 2 3" xfId="6288"/>
    <cellStyle name="Ввод  2 5 2 2 3 2" xfId="24090"/>
    <cellStyle name="Ввод  2 5 2 2 3 3" xfId="19852"/>
    <cellStyle name="Ввод  2 5 2 2 4" xfId="19133"/>
    <cellStyle name="Ввод  2 5 2 2 4 2" xfId="22541"/>
    <cellStyle name="Ввод  2 5 2 2 5" xfId="23338"/>
    <cellStyle name="Ввод  2 5 2 2 6" xfId="23479"/>
    <cellStyle name="Ввод  2 5 2 2 7" xfId="21107"/>
    <cellStyle name="Ввод  2 5 2 3" xfId="5546"/>
    <cellStyle name="Ввод  2 5 2 3 2" xfId="5881"/>
    <cellStyle name="Ввод  2 5 2 3 2 2" xfId="19434"/>
    <cellStyle name="Ввод  2 5 2 3 2 3" xfId="22804"/>
    <cellStyle name="Ввод  2 5 2 3 2 4" xfId="22155"/>
    <cellStyle name="Ввод  2 5 2 3 2 5" xfId="19888"/>
    <cellStyle name="Ввод  2 5 2 3 2 6" xfId="23539"/>
    <cellStyle name="Ввод  2 5 2 3 2 7" xfId="21508"/>
    <cellStyle name="Ввод  2 5 2 3 3" xfId="6216"/>
    <cellStyle name="Ввод  2 5 2 3 3 2" xfId="24018"/>
    <cellStyle name="Ввод  2 5 2 3 3 3" xfId="21993"/>
    <cellStyle name="Ввод  2 5 2 3 4" xfId="19061"/>
    <cellStyle name="Ввод  2 5 2 3 4 2" xfId="22469"/>
    <cellStyle name="Ввод  2 5 2 3 5" xfId="22038"/>
    <cellStyle name="Ввод  2 5 2 3 6" xfId="23614"/>
    <cellStyle name="Ввод  2 5 2 3 7" xfId="23724"/>
    <cellStyle name="Ввод  2 5 2 4" xfId="5579"/>
    <cellStyle name="Ввод  2 5 2 4 2" xfId="22122"/>
    <cellStyle name="Ввод  2 5 2 4 3" xfId="22502"/>
    <cellStyle name="Ввод  2 5 2 4 4" xfId="19453"/>
    <cellStyle name="Ввод  2 5 2 4 5" xfId="20018"/>
    <cellStyle name="Ввод  2 5 2 4 6" xfId="21679"/>
    <cellStyle name="Ввод  2 5 2 4 7" xfId="21280"/>
    <cellStyle name="Ввод  2 5 2 5" xfId="5914"/>
    <cellStyle name="Ввод  2 5 2 5 2" xfId="20456"/>
    <cellStyle name="Ввод  2 5 2 5 3" xfId="22837"/>
    <cellStyle name="Ввод  2 5 2 5 4" xfId="19988"/>
    <cellStyle name="Ввод  2 5 2 5 5" xfId="21146"/>
    <cellStyle name="Ввод  2 5 2 5 6" xfId="23259"/>
    <cellStyle name="Ввод  2 5 2 5 7" xfId="21541"/>
    <cellStyle name="Ввод  2 5 2 6" xfId="6249"/>
    <cellStyle name="Ввод  2 5 2 6 2" xfId="24051"/>
    <cellStyle name="Ввод  2 5 2 6 3" xfId="20567"/>
    <cellStyle name="Ввод  2 5 2 7" xfId="19094"/>
    <cellStyle name="Ввод  2 5 2 7 2" xfId="19751"/>
    <cellStyle name="Ввод  2 5 2 8" xfId="19952"/>
    <cellStyle name="Ввод  2 5 2 9" xfId="23625"/>
    <cellStyle name="Ввод  2 5 3" xfId="5399"/>
    <cellStyle name="Ввод  2 5 3 2" xfId="21117"/>
    <cellStyle name="Ввод  2 5 3 3" xfId="22322"/>
    <cellStyle name="Ввод  2 5 3 4" xfId="19241"/>
    <cellStyle name="Ввод  2 5 3 5" xfId="21901"/>
    <cellStyle name="Ввод  2 5 3 6" xfId="23606"/>
    <cellStyle name="Ввод  2 5 3 7" xfId="21205"/>
    <cellStyle name="Ввод  2 5 4" xfId="5734"/>
    <cellStyle name="Ввод  2 5 4 2" xfId="21740"/>
    <cellStyle name="Ввод  2 5 4 3" xfId="22657"/>
    <cellStyle name="Ввод  2 5 4 4" xfId="19601"/>
    <cellStyle name="Ввод  2 5 4 5" xfId="19344"/>
    <cellStyle name="Ввод  2 5 4 6" xfId="23185"/>
    <cellStyle name="Ввод  2 5 4 7" xfId="21361"/>
    <cellStyle name="Ввод  2 5 5" xfId="6069"/>
    <cellStyle name="Ввод  2 5 5 2" xfId="23871"/>
    <cellStyle name="Ввод  2 5 5 3" xfId="19815"/>
    <cellStyle name="Ввод  2 5 6" xfId="18914"/>
    <cellStyle name="Ввод  2 5 6 2" xfId="19979"/>
    <cellStyle name="Ввод  2 5 7" xfId="21716"/>
    <cellStyle name="Ввод  2 5 8" xfId="23244"/>
    <cellStyle name="Ввод  2 5 9" xfId="23648"/>
    <cellStyle name="Ввод  2 6" xfId="1718"/>
    <cellStyle name="Ввод  2 6 2" xfId="3276"/>
    <cellStyle name="Ввод  2 6 2 10" xfId="23271"/>
    <cellStyle name="Ввод  2 6 2 2" xfId="5508"/>
    <cellStyle name="Ввод  2 6 2 2 2" xfId="5843"/>
    <cellStyle name="Ввод  2 6 2 2 2 2" xfId="19899"/>
    <cellStyle name="Ввод  2 6 2 2 2 3" xfId="22766"/>
    <cellStyle name="Ввод  2 6 2 2 2 4" xfId="19439"/>
    <cellStyle name="Ввод  2 6 2 2 2 5" xfId="23531"/>
    <cellStyle name="Ввод  2 6 2 2 2 6" xfId="23656"/>
    <cellStyle name="Ввод  2 6 2 2 2 7" xfId="21470"/>
    <cellStyle name="Ввод  2 6 2 2 3" xfId="6178"/>
    <cellStyle name="Ввод  2 6 2 2 3 2" xfId="23980"/>
    <cellStyle name="Ввод  2 6 2 2 3 3" xfId="22039"/>
    <cellStyle name="Ввод  2 6 2 2 4" xfId="19023"/>
    <cellStyle name="Ввод  2 6 2 2 4 2" xfId="22431"/>
    <cellStyle name="Ввод  2 6 2 2 5" xfId="23257"/>
    <cellStyle name="Ввод  2 6 2 2 6" xfId="21735"/>
    <cellStyle name="Ввод  2 6 2 2 7" xfId="23800"/>
    <cellStyle name="Ввод  2 6 2 3" xfId="5450"/>
    <cellStyle name="Ввод  2 6 2 3 2" xfId="5785"/>
    <cellStyle name="Ввод  2 6 2 3 2 2" xfId="20841"/>
    <cellStyle name="Ввод  2 6 2 3 2 3" xfId="22708"/>
    <cellStyle name="Ввод  2 6 2 3 2 4" xfId="23096"/>
    <cellStyle name="Ввод  2 6 2 3 2 5" xfId="19839"/>
    <cellStyle name="Ввод  2 6 2 3 2 6" xfId="20151"/>
    <cellStyle name="Ввод  2 6 2 3 2 7" xfId="21412"/>
    <cellStyle name="Ввод  2 6 2 3 3" xfId="6120"/>
    <cellStyle name="Ввод  2 6 2 3 3 2" xfId="23922"/>
    <cellStyle name="Ввод  2 6 2 3 3 3" xfId="20580"/>
    <cellStyle name="Ввод  2 6 2 3 4" xfId="18965"/>
    <cellStyle name="Ввод  2 6 2 3 4 2" xfId="22373"/>
    <cellStyle name="Ввод  2 6 2 3 5" xfId="23350"/>
    <cellStyle name="Ввод  2 6 2 3 6" xfId="19755"/>
    <cellStyle name="Ввод  2 6 2 3 7" xfId="20939"/>
    <cellStyle name="Ввод  2 6 2 4" xfId="5593"/>
    <cellStyle name="Ввод  2 6 2 4 2" xfId="22011"/>
    <cellStyle name="Ввод  2 6 2 4 3" xfId="22516"/>
    <cellStyle name="Ввод  2 6 2 4 4" xfId="23278"/>
    <cellStyle name="Ввод  2 6 2 4 5" xfId="23585"/>
    <cellStyle name="Ввод  2 6 2 4 6" xfId="23756"/>
    <cellStyle name="Ввод  2 6 2 4 7" xfId="21294"/>
    <cellStyle name="Ввод  2 6 2 5" xfId="5928"/>
    <cellStyle name="Ввод  2 6 2 5 2" xfId="19576"/>
    <cellStyle name="Ввод  2 6 2 5 3" xfId="22851"/>
    <cellStyle name="Ввод  2 6 2 5 4" xfId="20656"/>
    <cellStyle name="Ввод  2 6 2 5 5" xfId="20202"/>
    <cellStyle name="Ввод  2 6 2 5 6" xfId="20008"/>
    <cellStyle name="Ввод  2 6 2 5 7" xfId="21555"/>
    <cellStyle name="Ввод  2 6 2 6" xfId="6263"/>
    <cellStyle name="Ввод  2 6 2 6 2" xfId="24065"/>
    <cellStyle name="Ввод  2 6 2 6 3" xfId="20439"/>
    <cellStyle name="Ввод  2 6 2 7" xfId="19108"/>
    <cellStyle name="Ввод  2 6 2 7 2" xfId="20132"/>
    <cellStyle name="Ввод  2 6 2 8" xfId="19390"/>
    <cellStyle name="Ввод  2 6 2 9" xfId="21812"/>
    <cellStyle name="Ввод  2 6 3" xfId="5413"/>
    <cellStyle name="Ввод  2 6 3 2" xfId="19990"/>
    <cellStyle name="Ввод  2 6 3 3" xfId="22336"/>
    <cellStyle name="Ввод  2 6 3 4" xfId="23249"/>
    <cellStyle name="Ввод  2 6 3 5" xfId="20400"/>
    <cellStyle name="Ввод  2 6 3 6" xfId="20576"/>
    <cellStyle name="Ввод  2 6 3 7" xfId="21219"/>
    <cellStyle name="Ввод  2 6 4" xfId="5748"/>
    <cellStyle name="Ввод  2 6 4 2" xfId="19305"/>
    <cellStyle name="Ввод  2 6 4 3" xfId="22671"/>
    <cellStyle name="Ввод  2 6 4 4" xfId="20986"/>
    <cellStyle name="Ввод  2 6 4 5" xfId="19358"/>
    <cellStyle name="Ввод  2 6 4 6" xfId="23596"/>
    <cellStyle name="Ввод  2 6 4 7" xfId="21375"/>
    <cellStyle name="Ввод  2 6 5" xfId="6083"/>
    <cellStyle name="Ввод  2 6 5 2" xfId="23885"/>
    <cellStyle name="Ввод  2 6 5 3" xfId="19208"/>
    <cellStyle name="Ввод  2 6 6" xfId="18928"/>
    <cellStyle name="Ввод  2 6 6 2" xfId="20367"/>
    <cellStyle name="Ввод  2 6 7" xfId="20023"/>
    <cellStyle name="Ввод  2 6 8" xfId="19654"/>
    <cellStyle name="Ввод  2 6 9" xfId="20767"/>
    <cellStyle name="Ввод  2 7" xfId="2950"/>
    <cellStyle name="Ввод  2 7 10" xfId="21794"/>
    <cellStyle name="Ввод  2 7 2" xfId="5503"/>
    <cellStyle name="Ввод  2 7 2 2" xfId="5838"/>
    <cellStyle name="Ввод  2 7 2 2 2" xfId="20900"/>
    <cellStyle name="Ввод  2 7 2 2 3" xfId="22761"/>
    <cellStyle name="Ввод  2 7 2 2 4" xfId="20522"/>
    <cellStyle name="Ввод  2 7 2 2 5" xfId="20359"/>
    <cellStyle name="Ввод  2 7 2 2 6" xfId="22974"/>
    <cellStyle name="Ввод  2 7 2 2 7" xfId="21465"/>
    <cellStyle name="Ввод  2 7 2 3" xfId="6173"/>
    <cellStyle name="Ввод  2 7 2 3 2" xfId="23975"/>
    <cellStyle name="Ввод  2 7 2 3 3" xfId="20188"/>
    <cellStyle name="Ввод  2 7 2 4" xfId="19018"/>
    <cellStyle name="Ввод  2 7 2 4 2" xfId="22426"/>
    <cellStyle name="Ввод  2 7 2 5" xfId="20597"/>
    <cellStyle name="Ввод  2 7 2 6" xfId="19600"/>
    <cellStyle name="Ввод  2 7 2 7" xfId="22130"/>
    <cellStyle name="Ввод  2 7 3" xfId="5678"/>
    <cellStyle name="Ввод  2 7 3 2" xfId="6013"/>
    <cellStyle name="Ввод  2 7 3 2 2" xfId="21857"/>
    <cellStyle name="Ввод  2 7 3 2 3" xfId="22936"/>
    <cellStyle name="Ввод  2 7 3 2 4" xfId="23408"/>
    <cellStyle name="Ввод  2 7 3 2 5" xfId="23634"/>
    <cellStyle name="Ввод  2 7 3 2 6" xfId="21727"/>
    <cellStyle name="Ввод  2 7 3 2 7" xfId="21640"/>
    <cellStyle name="Ввод  2 7 3 3" xfId="6348"/>
    <cellStyle name="Ввод  2 7 3 3 2" xfId="24150"/>
    <cellStyle name="Ввод  2 7 3 3 3" xfId="20057"/>
    <cellStyle name="Ввод  2 7 3 4" xfId="19193"/>
    <cellStyle name="Ввод  2 7 3 4 2" xfId="22601"/>
    <cellStyle name="Ввод  2 7 3 5" xfId="23151"/>
    <cellStyle name="Ввод  2 7 3 6" xfId="23555"/>
    <cellStyle name="Ввод  2 7 3 7" xfId="23569"/>
    <cellStyle name="Ввод  2 7 4" xfId="5376"/>
    <cellStyle name="Ввод  2 7 4 2" xfId="21094"/>
    <cellStyle name="Ввод  2 7 4 3" xfId="22299"/>
    <cellStyle name="Ввод  2 7 4 4" xfId="23364"/>
    <cellStyle name="Ввод  2 7 4 5" xfId="23081"/>
    <cellStyle name="Ввод  2 7 4 6" xfId="23792"/>
    <cellStyle name="Ввод  2 7 4 7" xfId="21182"/>
    <cellStyle name="Ввод  2 7 5" xfId="5711"/>
    <cellStyle name="Ввод  2 7 5 2" xfId="20098"/>
    <cellStyle name="Ввод  2 7 5 3" xfId="22634"/>
    <cellStyle name="Ввод  2 7 5 4" xfId="22153"/>
    <cellStyle name="Ввод  2 7 5 5" xfId="23559"/>
    <cellStyle name="Ввод  2 7 5 6" xfId="20083"/>
    <cellStyle name="Ввод  2 7 5 7" xfId="21338"/>
    <cellStyle name="Ввод  2 7 6" xfId="6046"/>
    <cellStyle name="Ввод  2 7 6 2" xfId="23848"/>
    <cellStyle name="Ввод  2 7 6 3" xfId="20144"/>
    <cellStyle name="Ввод  2 7 7" xfId="18891"/>
    <cellStyle name="Ввод  2 7 7 2" xfId="19495"/>
    <cellStyle name="Ввод  2 7 8" xfId="19948"/>
    <cellStyle name="Ввод  2 7 9" xfId="19892"/>
    <cellStyle name="Ввод  2 8" xfId="3221"/>
    <cellStyle name="Ввод  2 8 10" xfId="19904"/>
    <cellStyle name="Ввод  2 8 2" xfId="5657"/>
    <cellStyle name="Ввод  2 8 2 2" xfId="5992"/>
    <cellStyle name="Ввод  2 8 2 2 2" xfId="19542"/>
    <cellStyle name="Ввод  2 8 2 2 3" xfId="22915"/>
    <cellStyle name="Ввод  2 8 2 2 4" xfId="23387"/>
    <cellStyle name="Ввод  2 8 2 2 5" xfId="21038"/>
    <cellStyle name="Ввод  2 8 2 2 6" xfId="22093"/>
    <cellStyle name="Ввод  2 8 2 2 7" xfId="21619"/>
    <cellStyle name="Ввод  2 8 2 3" xfId="6327"/>
    <cellStyle name="Ввод  2 8 2 3 2" xfId="24129"/>
    <cellStyle name="Ввод  2 8 2 3 3" xfId="22141"/>
    <cellStyle name="Ввод  2 8 2 4" xfId="19172"/>
    <cellStyle name="Ввод  2 8 2 4 2" xfId="22580"/>
    <cellStyle name="Ввод  2 8 2 5" xfId="22995"/>
    <cellStyle name="Ввод  2 8 2 6" xfId="20168"/>
    <cellStyle name="Ввод  2 8 2 7" xfId="23731"/>
    <cellStyle name="Ввод  2 8 3" xfId="5511"/>
    <cellStyle name="Ввод  2 8 3 2" xfId="5846"/>
    <cellStyle name="Ввод  2 8 3 2 2" xfId="21139"/>
    <cellStyle name="Ввод  2 8 3 2 3" xfId="22769"/>
    <cellStyle name="Ввод  2 8 3 2 4" xfId="21664"/>
    <cellStyle name="Ввод  2 8 3 2 5" xfId="23076"/>
    <cellStyle name="Ввод  2 8 3 2 6" xfId="21862"/>
    <cellStyle name="Ввод  2 8 3 2 7" xfId="21473"/>
    <cellStyle name="Ввод  2 8 3 3" xfId="6181"/>
    <cellStyle name="Ввод  2 8 3 3 2" xfId="23983"/>
    <cellStyle name="Ввод  2 8 3 3 3" xfId="20691"/>
    <cellStyle name="Ввод  2 8 3 4" xfId="19026"/>
    <cellStyle name="Ввод  2 8 3 4 2" xfId="22434"/>
    <cellStyle name="Ввод  2 8 3 5" xfId="23223"/>
    <cellStyle name="Ввод  2 8 3 6" xfId="23118"/>
    <cellStyle name="Ввод  2 8 3 7" xfId="23710"/>
    <cellStyle name="Ввод  2 8 4" xfId="5445"/>
    <cellStyle name="Ввод  2 8 4 2" xfId="20713"/>
    <cellStyle name="Ввод  2 8 4 3" xfId="22368"/>
    <cellStyle name="Ввод  2 8 4 4" xfId="20058"/>
    <cellStyle name="Ввод  2 8 4 5" xfId="19670"/>
    <cellStyle name="Ввод  2 8 4 6" xfId="21085"/>
    <cellStyle name="Ввод  2 8 4 7" xfId="21251"/>
    <cellStyle name="Ввод  2 8 5" xfId="5780"/>
    <cellStyle name="Ввод  2 8 5 2" xfId="19707"/>
    <cellStyle name="Ввод  2 8 5 3" xfId="22703"/>
    <cellStyle name="Ввод  2 8 5 4" xfId="23219"/>
    <cellStyle name="Ввод  2 8 5 5" xfId="20258"/>
    <cellStyle name="Ввод  2 8 5 6" xfId="20477"/>
    <cellStyle name="Ввод  2 8 5 7" xfId="21407"/>
    <cellStyle name="Ввод  2 8 6" xfId="6115"/>
    <cellStyle name="Ввод  2 8 6 2" xfId="23917"/>
    <cellStyle name="Ввод  2 8 6 3" xfId="21903"/>
    <cellStyle name="Ввод  2 8 7" xfId="18960"/>
    <cellStyle name="Ввод  2 8 7 2" xfId="19245"/>
    <cellStyle name="Ввод  2 8 8" xfId="20760"/>
    <cellStyle name="Ввод  2 8 9" xfId="20654"/>
    <cellStyle name="Ввод  2 9" xfId="3236"/>
    <cellStyle name="Ввод  2 9 10" xfId="21684"/>
    <cellStyle name="Ввод  2 9 2" xfId="5548"/>
    <cellStyle name="Ввод  2 9 2 2" xfId="5883"/>
    <cellStyle name="Ввод  2 9 2 2 2" xfId="19275"/>
    <cellStyle name="Ввод  2 9 2 2 3" xfId="22806"/>
    <cellStyle name="Ввод  2 9 2 2 4" xfId="20626"/>
    <cellStyle name="Ввод  2 9 2 2 5" xfId="20178"/>
    <cellStyle name="Ввод  2 9 2 2 6" xfId="19246"/>
    <cellStyle name="Ввод  2 9 2 2 7" xfId="21510"/>
    <cellStyle name="Ввод  2 9 2 3" xfId="6218"/>
    <cellStyle name="Ввод  2 9 2 3 2" xfId="24020"/>
    <cellStyle name="Ввод  2 9 2 3 3" xfId="21932"/>
    <cellStyle name="Ввод  2 9 2 4" xfId="19063"/>
    <cellStyle name="Ввод  2 9 2 4 2" xfId="22471"/>
    <cellStyle name="Ввод  2 9 2 5" xfId="23003"/>
    <cellStyle name="Ввод  2 9 2 6" xfId="19536"/>
    <cellStyle name="Ввод  2 9 2 7" xfId="23482"/>
    <cellStyle name="Ввод  2 9 3" xfId="5488"/>
    <cellStyle name="Ввод  2 9 3 2" xfId="5823"/>
    <cellStyle name="Ввод  2 9 3 2 2" xfId="20511"/>
    <cellStyle name="Ввод  2 9 3 2 3" xfId="22746"/>
    <cellStyle name="Ввод  2 9 3 2 4" xfId="19285"/>
    <cellStyle name="Ввод  2 9 3 2 5" xfId="23581"/>
    <cellStyle name="Ввод  2 9 3 2 6" xfId="19645"/>
    <cellStyle name="Ввод  2 9 3 2 7" xfId="21450"/>
    <cellStyle name="Ввод  2 9 3 3" xfId="6158"/>
    <cellStyle name="Ввод  2 9 3 3 2" xfId="23960"/>
    <cellStyle name="Ввод  2 9 3 3 3" xfId="22103"/>
    <cellStyle name="Ввод  2 9 3 4" xfId="19003"/>
    <cellStyle name="Ввод  2 9 3 4 2" xfId="22411"/>
    <cellStyle name="Ввод  2 9 3 5" xfId="23376"/>
    <cellStyle name="Ввод  2 9 3 6" xfId="21121"/>
    <cellStyle name="Ввод  2 9 3 7" xfId="23816"/>
    <cellStyle name="Ввод  2 9 4" xfId="5553"/>
    <cellStyle name="Ввод  2 9 4 2" xfId="20155"/>
    <cellStyle name="Ввод  2 9 4 3" xfId="22476"/>
    <cellStyle name="Ввод  2 9 4 4" xfId="19703"/>
    <cellStyle name="Ввод  2 9 4 5" xfId="21888"/>
    <cellStyle name="Ввод  2 9 4 6" xfId="20210"/>
    <cellStyle name="Ввод  2 9 4 7" xfId="21254"/>
    <cellStyle name="Ввод  2 9 5" xfId="5888"/>
    <cellStyle name="Ввод  2 9 5 2" xfId="20038"/>
    <cellStyle name="Ввод  2 9 5 3" xfId="22811"/>
    <cellStyle name="Ввод  2 9 5 4" xfId="20951"/>
    <cellStyle name="Ввод  2 9 5 5" xfId="20989"/>
    <cellStyle name="Ввод  2 9 5 6" xfId="20115"/>
    <cellStyle name="Ввод  2 9 5 7" xfId="21515"/>
    <cellStyle name="Ввод  2 9 6" xfId="6223"/>
    <cellStyle name="Ввод  2 9 6 2" xfId="24025"/>
    <cellStyle name="Ввод  2 9 6 3" xfId="19893"/>
    <cellStyle name="Ввод  2 9 7" xfId="19068"/>
    <cellStyle name="Ввод  2 9 7 2" xfId="19276"/>
    <cellStyle name="Ввод  2 9 8" xfId="21957"/>
    <cellStyle name="Ввод  2 9 9" xfId="19900"/>
    <cellStyle name="Ввод  3" xfId="120"/>
    <cellStyle name="Ввод  3 10" xfId="18873"/>
    <cellStyle name="Ввод  3 10 2" xfId="21981"/>
    <cellStyle name="Ввод  3 11" xfId="20089"/>
    <cellStyle name="Ввод  3 12" xfId="22104"/>
    <cellStyle name="Ввод  3 13" xfId="23093"/>
    <cellStyle name="Ввод  3 2" xfId="645"/>
    <cellStyle name="Ввод  3 2 10" xfId="21900"/>
    <cellStyle name="Ввод  3 2 11" xfId="21834"/>
    <cellStyle name="Ввод  3 2 12" xfId="23803"/>
    <cellStyle name="Ввод  3 2 2" xfId="1780"/>
    <cellStyle name="Ввод  3 2 2 2" xfId="3292"/>
    <cellStyle name="Ввод  3 2 2 2 10" xfId="19616"/>
    <cellStyle name="Ввод  3 2 2 2 2" xfId="5459"/>
    <cellStyle name="Ввод  3 2 2 2 2 2" xfId="5794"/>
    <cellStyle name="Ввод  3 2 2 2 2 2 2" xfId="21115"/>
    <cellStyle name="Ввод  3 2 2 2 2 2 3" xfId="22717"/>
    <cellStyle name="Ввод  3 2 2 2 2 2 4" xfId="20994"/>
    <cellStyle name="Ввод  3 2 2 2 2 2 5" xfId="20128"/>
    <cellStyle name="Ввод  3 2 2 2 2 2 6" xfId="20628"/>
    <cellStyle name="Ввод  3 2 2 2 2 2 7" xfId="21421"/>
    <cellStyle name="Ввод  3 2 2 2 2 3" xfId="6129"/>
    <cellStyle name="Ввод  3 2 2 2 2 3 2" xfId="23931"/>
    <cellStyle name="Ввод  3 2 2 2 2 3 3" xfId="19860"/>
    <cellStyle name="Ввод  3 2 2 2 2 4" xfId="18974"/>
    <cellStyle name="Ввод  3 2 2 2 2 4 2" xfId="22382"/>
    <cellStyle name="Ввод  3 2 2 2 2 5" xfId="23269"/>
    <cellStyle name="Ввод  3 2 2 2 2 6" xfId="20675"/>
    <cellStyle name="Ввод  3 2 2 2 2 7" xfId="20963"/>
    <cellStyle name="Ввод  3 2 2 2 3" xfId="5451"/>
    <cellStyle name="Ввод  3 2 2 2 3 2" xfId="5786"/>
    <cellStyle name="Ввод  3 2 2 2 3 2 2" xfId="21854"/>
    <cellStyle name="Ввод  3 2 2 2 3 2 3" xfId="22709"/>
    <cellStyle name="Ввод  3 2 2 2 3 2 4" xfId="23240"/>
    <cellStyle name="Ввод  3 2 2 2 3 2 5" xfId="20465"/>
    <cellStyle name="Ввод  3 2 2 2 3 2 6" xfId="20196"/>
    <cellStyle name="Ввод  3 2 2 2 3 2 7" xfId="21413"/>
    <cellStyle name="Ввод  3 2 2 2 3 3" xfId="6121"/>
    <cellStyle name="Ввод  3 2 2 2 3 3 2" xfId="23923"/>
    <cellStyle name="Ввод  3 2 2 2 3 3 3" xfId="22171"/>
    <cellStyle name="Ввод  3 2 2 2 3 4" xfId="18966"/>
    <cellStyle name="Ввод  3 2 2 2 3 4 2" xfId="22374"/>
    <cellStyle name="Ввод  3 2 2 2 3 5" xfId="23153"/>
    <cellStyle name="Ввод  3 2 2 2 3 6" xfId="21060"/>
    <cellStyle name="Ввод  3 2 2 2 3 7" xfId="19265"/>
    <cellStyle name="Ввод  3 2 2 2 4" xfId="5609"/>
    <cellStyle name="Ввод  3 2 2 2 4 2" xfId="19690"/>
    <cellStyle name="Ввод  3 2 2 2 4 3" xfId="22532"/>
    <cellStyle name="Ввод  3 2 2 2 4 4" xfId="23313"/>
    <cellStyle name="Ввод  3 2 2 2 4 5" xfId="20149"/>
    <cellStyle name="Ввод  3 2 2 2 4 6" xfId="20193"/>
    <cellStyle name="Ввод  3 2 2 2 4 7" xfId="21310"/>
    <cellStyle name="Ввод  3 2 2 2 5" xfId="5944"/>
    <cellStyle name="Ввод  3 2 2 2 5 2" xfId="19268"/>
    <cellStyle name="Ввод  3 2 2 2 5 3" xfId="22867"/>
    <cellStyle name="Ввод  3 2 2 2 5 4" xfId="19419"/>
    <cellStyle name="Ввод  3 2 2 2 5 5" xfId="20590"/>
    <cellStyle name="Ввод  3 2 2 2 5 6" xfId="19978"/>
    <cellStyle name="Ввод  3 2 2 2 5 7" xfId="21571"/>
    <cellStyle name="Ввод  3 2 2 2 6" xfId="6279"/>
    <cellStyle name="Ввод  3 2 2 2 6 2" xfId="24081"/>
    <cellStyle name="Ввод  3 2 2 2 6 3" xfId="20105"/>
    <cellStyle name="Ввод  3 2 2 2 7" xfId="19124"/>
    <cellStyle name="Ввод  3 2 2 2 7 2" xfId="20852"/>
    <cellStyle name="Ввод  3 2 2 2 8" xfId="20416"/>
    <cellStyle name="Ввод  3 2 2 2 9" xfId="19848"/>
    <cellStyle name="Ввод  3 2 2 3" xfId="5429"/>
    <cellStyle name="Ввод  3 2 2 3 2" xfId="20093"/>
    <cellStyle name="Ввод  3 2 2 3 3" xfId="22352"/>
    <cellStyle name="Ввод  3 2 2 3 4" xfId="23138"/>
    <cellStyle name="Ввод  3 2 2 3 5" xfId="20956"/>
    <cellStyle name="Ввод  3 2 2 3 6" xfId="23007"/>
    <cellStyle name="Ввод  3 2 2 3 7" xfId="21235"/>
    <cellStyle name="Ввод  3 2 2 4" xfId="5764"/>
    <cellStyle name="Ввод  3 2 2 4 2" xfId="19873"/>
    <cellStyle name="Ввод  3 2 2 4 3" xfId="22687"/>
    <cellStyle name="Ввод  3 2 2 4 4" xfId="20813"/>
    <cellStyle name="Ввод  3 2 2 4 5" xfId="21798"/>
    <cellStyle name="Ввод  3 2 2 4 6" xfId="20553"/>
    <cellStyle name="Ввод  3 2 2 4 7" xfId="21391"/>
    <cellStyle name="Ввод  3 2 2 5" xfId="6099"/>
    <cellStyle name="Ввод  3 2 2 5 2" xfId="23901"/>
    <cellStyle name="Ввод  3 2 2 5 3" xfId="19314"/>
    <cellStyle name="Ввод  3 2 2 6" xfId="18944"/>
    <cellStyle name="Ввод  3 2 2 6 2" xfId="20916"/>
    <cellStyle name="Ввод  3 2 2 7" xfId="20074"/>
    <cellStyle name="Ввод  3 2 2 8" xfId="23623"/>
    <cellStyle name="Ввод  3 2 2 9" xfId="20982"/>
    <cellStyle name="Ввод  3 2 3" xfId="3208"/>
    <cellStyle name="Ввод  3 2 3 10" xfId="23647"/>
    <cellStyle name="Ввод  3 2 3 2" xfId="5525"/>
    <cellStyle name="Ввод  3 2 3 2 2" xfId="5860"/>
    <cellStyle name="Ввод  3 2 3 2 2 2" xfId="19768"/>
    <cellStyle name="Ввод  3 2 3 2 2 3" xfId="22783"/>
    <cellStyle name="Ввод  3 2 3 2 2 4" xfId="20254"/>
    <cellStyle name="Ввод  3 2 3 2 2 5" xfId="19260"/>
    <cellStyle name="Ввод  3 2 3 2 2 6" xfId="21797"/>
    <cellStyle name="Ввод  3 2 3 2 2 7" xfId="21487"/>
    <cellStyle name="Ввод  3 2 3 2 3" xfId="6195"/>
    <cellStyle name="Ввод  3 2 3 2 3 2" xfId="23997"/>
    <cellStyle name="Ввод  3 2 3 2 3 3" xfId="19617"/>
    <cellStyle name="Ввод  3 2 3 2 4" xfId="19040"/>
    <cellStyle name="Ввод  3 2 3 2 4 2" xfId="22448"/>
    <cellStyle name="Ввод  3 2 3 2 5" xfId="23347"/>
    <cellStyle name="Ввод  3 2 3 2 6" xfId="22075"/>
    <cellStyle name="Ввод  3 2 3 2 7" xfId="23661"/>
    <cellStyle name="Ввод  3 2 3 3" xfId="5687"/>
    <cellStyle name="Ввод  3 2 3 3 2" xfId="6022"/>
    <cellStyle name="Ввод  3 2 3 3 2 2" xfId="20249"/>
    <cellStyle name="Ввод  3 2 3 3 2 3" xfId="22945"/>
    <cellStyle name="Ввод  3 2 3 3 2 4" xfId="23417"/>
    <cellStyle name="Ввод  3 2 3 3 2 5" xfId="23643"/>
    <cellStyle name="Ввод  3 2 3 3 2 6" xfId="20851"/>
    <cellStyle name="Ввод  3 2 3 3 2 7" xfId="21649"/>
    <cellStyle name="Ввод  3 2 3 3 3" xfId="6357"/>
    <cellStyle name="Ввод  3 2 3 3 3 2" xfId="24159"/>
    <cellStyle name="Ввод  3 2 3 3 3 3" xfId="20156"/>
    <cellStyle name="Ввод  3 2 3 3 4" xfId="19202"/>
    <cellStyle name="Ввод  3 2 3 3 4 2" xfId="22610"/>
    <cellStyle name="Ввод  3 2 3 3 5" xfId="23276"/>
    <cellStyle name="Ввод  3 2 3 3 6" xfId="22246"/>
    <cellStyle name="Ввод  3 2 3 3 7" xfId="22162"/>
    <cellStyle name="Ввод  3 2 3 4" xfId="5391"/>
    <cellStyle name="Ввод  3 2 3 4 2" xfId="22084"/>
    <cellStyle name="Ввод  3 2 3 4 3" xfId="22314"/>
    <cellStyle name="Ввод  3 2 3 4 4" xfId="23192"/>
    <cellStyle name="Ввод  3 2 3 4 5" xfId="23067"/>
    <cellStyle name="Ввод  3 2 3 4 6" xfId="23765"/>
    <cellStyle name="Ввод  3 2 3 4 7" xfId="21197"/>
    <cellStyle name="Ввод  3 2 3 5" xfId="5726"/>
    <cellStyle name="Ввод  3 2 3 5 2" xfId="19850"/>
    <cellStyle name="Ввод  3 2 3 5 3" xfId="22649"/>
    <cellStyle name="Ввод  3 2 3 5 4" xfId="19304"/>
    <cellStyle name="Ввод  3 2 3 5 5" xfId="22270"/>
    <cellStyle name="Ввод  3 2 3 5 6" xfId="20386"/>
    <cellStyle name="Ввод  3 2 3 5 7" xfId="21353"/>
    <cellStyle name="Ввод  3 2 3 6" xfId="6061"/>
    <cellStyle name="Ввод  3 2 3 6 2" xfId="23863"/>
    <cellStyle name="Ввод  3 2 3 6 3" xfId="19876"/>
    <cellStyle name="Ввод  3 2 3 7" xfId="18906"/>
    <cellStyle name="Ввод  3 2 3 7 2" xfId="19975"/>
    <cellStyle name="Ввод  3 2 3 8" xfId="19681"/>
    <cellStyle name="Ввод  3 2 3 9" xfId="23311"/>
    <cellStyle name="Ввод  3 2 4" xfId="2849"/>
    <cellStyle name="Ввод  3 2 4 10" xfId="20786"/>
    <cellStyle name="Ввод  3 2 4 2" xfId="5669"/>
    <cellStyle name="Ввод  3 2 4 2 2" xfId="6004"/>
    <cellStyle name="Ввод  3 2 4 2 2 2" xfId="21791"/>
    <cellStyle name="Ввод  3 2 4 2 2 3" xfId="22927"/>
    <cellStyle name="Ввод  3 2 4 2 2 4" xfId="23399"/>
    <cellStyle name="Ввод  3 2 4 2 2 5" xfId="22231"/>
    <cellStyle name="Ввод  3 2 4 2 2 6" xfId="21086"/>
    <cellStyle name="Ввод  3 2 4 2 2 7" xfId="21631"/>
    <cellStyle name="Ввод  3 2 4 2 3" xfId="6339"/>
    <cellStyle name="Ввод  3 2 4 2 3 2" xfId="24141"/>
    <cellStyle name="Ввод  3 2 4 2 3 3" xfId="20860"/>
    <cellStyle name="Ввод  3 2 4 2 4" xfId="19184"/>
    <cellStyle name="Ввод  3 2 4 2 4 2" xfId="22592"/>
    <cellStyle name="Ввод  3 2 4 2 5" xfId="23245"/>
    <cellStyle name="Ввод  3 2 4 2 6" xfId="19699"/>
    <cellStyle name="Ввод  3 2 4 2 7" xfId="19340"/>
    <cellStyle name="Ввод  3 2 4 3" xfId="5672"/>
    <cellStyle name="Ввод  3 2 4 3 2" xfId="6007"/>
    <cellStyle name="Ввод  3 2 4 3 2 2" xfId="20783"/>
    <cellStyle name="Ввод  3 2 4 3 2 3" xfId="22930"/>
    <cellStyle name="Ввод  3 2 4 3 2 4" xfId="23402"/>
    <cellStyle name="Ввод  3 2 4 3 2 5" xfId="20268"/>
    <cellStyle name="Ввод  3 2 4 3 2 6" xfId="19829"/>
    <cellStyle name="Ввод  3 2 4 3 2 7" xfId="21634"/>
    <cellStyle name="Ввод  3 2 4 3 3" xfId="6342"/>
    <cellStyle name="Ввод  3 2 4 3 3 2" xfId="24144"/>
    <cellStyle name="Ввод  3 2 4 3 3 3" xfId="20509"/>
    <cellStyle name="Ввод  3 2 4 3 4" xfId="19187"/>
    <cellStyle name="Ввод  3 2 4 3 4 2" xfId="22595"/>
    <cellStyle name="Ввод  3 2 4 3 5" xfId="20531"/>
    <cellStyle name="Ввод  3 2 4 3 6" xfId="21872"/>
    <cellStyle name="Ввод  3 2 4 3 7" xfId="19596"/>
    <cellStyle name="Ввод  3 2 4 4" xfId="5437"/>
    <cellStyle name="Ввод  3 2 4 4 2" xfId="22009"/>
    <cellStyle name="Ввод  3 2 4 4 3" xfId="22360"/>
    <cellStyle name="Ввод  3 2 4 4 4" xfId="23193"/>
    <cellStyle name="Ввод  3 2 4 4 5" xfId="23502"/>
    <cellStyle name="Ввод  3 2 4 4 6" xfId="23753"/>
    <cellStyle name="Ввод  3 2 4 4 7" xfId="21243"/>
    <cellStyle name="Ввод  3 2 4 5" xfId="5772"/>
    <cellStyle name="Ввод  3 2 4 5 2" xfId="21788"/>
    <cellStyle name="Ввод  3 2 4 5 3" xfId="22695"/>
    <cellStyle name="Ввод  3 2 4 5 4" xfId="22993"/>
    <cellStyle name="Ввод  3 2 4 5 5" xfId="19220"/>
    <cellStyle name="Ввод  3 2 4 5 6" xfId="23443"/>
    <cellStyle name="Ввод  3 2 4 5 7" xfId="21399"/>
    <cellStyle name="Ввод  3 2 4 6" xfId="6107"/>
    <cellStyle name="Ввод  3 2 4 6 2" xfId="23909"/>
    <cellStyle name="Ввод  3 2 4 6 3" xfId="19633"/>
    <cellStyle name="Ввод  3 2 4 7" xfId="18952"/>
    <cellStyle name="Ввод  3 2 4 7 2" xfId="21690"/>
    <cellStyle name="Ввод  3 2 4 8" xfId="21755"/>
    <cellStyle name="Ввод  3 2 4 9" xfId="20899"/>
    <cellStyle name="Ввод  3 2 5" xfId="3254"/>
    <cellStyle name="Ввод  3 2 5 10" xfId="23036"/>
    <cellStyle name="Ввод  3 2 5 2" xfId="5666"/>
    <cellStyle name="Ввод  3 2 5 2 2" xfId="6001"/>
    <cellStyle name="Ввод  3 2 5 2 2 2" xfId="19857"/>
    <cellStyle name="Ввод  3 2 5 2 2 3" xfId="22924"/>
    <cellStyle name="Ввод  3 2 5 2 2 4" xfId="23396"/>
    <cellStyle name="Ввод  3 2 5 2 2 5" xfId="21047"/>
    <cellStyle name="Ввод  3 2 5 2 2 6" xfId="23524"/>
    <cellStyle name="Ввод  3 2 5 2 2 7" xfId="21628"/>
    <cellStyle name="Ввод  3 2 5 2 3" xfId="6336"/>
    <cellStyle name="Ввод  3 2 5 2 3 2" xfId="24138"/>
    <cellStyle name="Ввод  3 2 5 2 3 3" xfId="19316"/>
    <cellStyle name="Ввод  3 2 5 2 4" xfId="19181"/>
    <cellStyle name="Ввод  3 2 5 2 4 2" xfId="22589"/>
    <cellStyle name="Ввод  3 2 5 2 5" xfId="23134"/>
    <cellStyle name="Ввод  3 2 5 2 6" xfId="20575"/>
    <cellStyle name="Ввод  3 2 5 2 7" xfId="23712"/>
    <cellStyle name="Ввод  3 2 5 3" xfId="5649"/>
    <cellStyle name="Ввод  3 2 5 3 2" xfId="5984"/>
    <cellStyle name="Ввод  3 2 5 3 2 2" xfId="21678"/>
    <cellStyle name="Ввод  3 2 5 3 2 3" xfId="22907"/>
    <cellStyle name="Ввод  3 2 5 3 2 4" xfId="20192"/>
    <cellStyle name="Ввод  3 2 5 3 2 5" xfId="19313"/>
    <cellStyle name="Ввод  3 2 5 3 2 6" xfId="21001"/>
    <cellStyle name="Ввод  3 2 5 3 2 7" xfId="21611"/>
    <cellStyle name="Ввод  3 2 5 3 3" xfId="6319"/>
    <cellStyle name="Ввод  3 2 5 3 3 2" xfId="24121"/>
    <cellStyle name="Ввод  3 2 5 3 3 3" xfId="19713"/>
    <cellStyle name="Ввод  3 2 5 3 4" xfId="19164"/>
    <cellStyle name="Ввод  3 2 5 3 4 2" xfId="22572"/>
    <cellStyle name="Ввод  3 2 5 3 5" xfId="23305"/>
    <cellStyle name="Ввод  3 2 5 3 6" xfId="19683"/>
    <cellStyle name="Ввод  3 2 5 3 7" xfId="20030"/>
    <cellStyle name="Ввод  3 2 5 4" xfId="5571"/>
    <cellStyle name="Ввод  3 2 5 4 2" xfId="20586"/>
    <cellStyle name="Ввод  3 2 5 4 3" xfId="22494"/>
    <cellStyle name="Ввод  3 2 5 4 4" xfId="23103"/>
    <cellStyle name="Ввод  3 2 5 4 5" xfId="20805"/>
    <cellStyle name="Ввод  3 2 5 4 6" xfId="22968"/>
    <cellStyle name="Ввод  3 2 5 4 7" xfId="21272"/>
    <cellStyle name="Ввод  3 2 5 5" xfId="5906"/>
    <cellStyle name="Ввод  3 2 5 5 2" xfId="20770"/>
    <cellStyle name="Ввод  3 2 5 5 3" xfId="22829"/>
    <cellStyle name="Ввод  3 2 5 5 4" xfId="19774"/>
    <cellStyle name="Ввод  3 2 5 5 5" xfId="23575"/>
    <cellStyle name="Ввод  3 2 5 5 6" xfId="23354"/>
    <cellStyle name="Ввод  3 2 5 5 7" xfId="21533"/>
    <cellStyle name="Ввод  3 2 5 6" xfId="6241"/>
    <cellStyle name="Ввод  3 2 5 6 2" xfId="24043"/>
    <cellStyle name="Ввод  3 2 5 6 3" xfId="20988"/>
    <cellStyle name="Ввод  3 2 5 7" xfId="19086"/>
    <cellStyle name="Ввод  3 2 5 7 2" xfId="20620"/>
    <cellStyle name="Ввод  3 2 5 8" xfId="20315"/>
    <cellStyle name="Ввод  3 2 5 9" xfId="19460"/>
    <cellStyle name="Ввод  3 2 6" xfId="5369"/>
    <cellStyle name="Ввод  3 2 6 2" xfId="20052"/>
    <cellStyle name="Ввод  3 2 6 3" xfId="22292"/>
    <cellStyle name="Ввод  3 2 6 4" xfId="23346"/>
    <cellStyle name="Ввод  3 2 6 5" xfId="19969"/>
    <cellStyle name="Ввод  3 2 6 6" xfId="19958"/>
    <cellStyle name="Ввод  3 2 6 7" xfId="21175"/>
    <cellStyle name="Ввод  3 2 7" xfId="5704"/>
    <cellStyle name="Ввод  3 2 7 2" xfId="22001"/>
    <cellStyle name="Ввод  3 2 7 3" xfId="22627"/>
    <cellStyle name="Ввод  3 2 7 4" xfId="23189"/>
    <cellStyle name="Ввод  3 2 7 5" xfId="23440"/>
    <cellStyle name="Ввод  3 2 7 6" xfId="23797"/>
    <cellStyle name="Ввод  3 2 7 7" xfId="21331"/>
    <cellStyle name="Ввод  3 2 8" xfId="6039"/>
    <cellStyle name="Ввод  3 2 8 2" xfId="23841"/>
    <cellStyle name="Ввод  3 2 8 3" xfId="20031"/>
    <cellStyle name="Ввод  3 2 9" xfId="18884"/>
    <cellStyle name="Ввод  3 2 9 2" xfId="22015"/>
    <cellStyle name="Ввод  3 3" xfId="1188"/>
    <cellStyle name="Ввод  3 3 2" xfId="3264"/>
    <cellStyle name="Ввод  3 3 2 10" xfId="20876"/>
    <cellStyle name="Ввод  3 3 2 2" xfId="5549"/>
    <cellStyle name="Ввод  3 3 2 2 2" xfId="5884"/>
    <cellStyle name="Ввод  3 3 2 2 2 2" xfId="20027"/>
    <cellStyle name="Ввод  3 3 2 2 2 3" xfId="22807"/>
    <cellStyle name="Ввод  3 3 2 2 2 4" xfId="21946"/>
    <cellStyle name="Ввод  3 3 2 2 2 5" xfId="21018"/>
    <cellStyle name="Ввод  3 3 2 2 2 6" xfId="23195"/>
    <cellStyle name="Ввод  3 3 2 2 2 7" xfId="21511"/>
    <cellStyle name="Ввод  3 3 2 2 3" xfId="6219"/>
    <cellStyle name="Ввод  3 3 2 2 3 2" xfId="24021"/>
    <cellStyle name="Ввод  3 3 2 2 3 3" xfId="20506"/>
    <cellStyle name="Ввод  3 3 2 2 4" xfId="19064"/>
    <cellStyle name="Ввод  3 3 2 2 4 2" xfId="22472"/>
    <cellStyle name="Ввод  3 3 2 2 5" xfId="23384"/>
    <cellStyle name="Ввод  3 3 2 2 6" xfId="20605"/>
    <cellStyle name="Ввод  3 3 2 2 7" xfId="20271"/>
    <cellStyle name="Ввод  3 3 2 3" xfId="5622"/>
    <cellStyle name="Ввод  3 3 2 3 2" xfId="5957"/>
    <cellStyle name="Ввод  3 3 2 3 2 2" xfId="20497"/>
    <cellStyle name="Ввод  3 3 2 3 2 3" xfId="22880"/>
    <cellStyle name="Ввод  3 3 2 3 2 4" xfId="21037"/>
    <cellStyle name="Ввод  3 3 2 3 2 5" xfId="19372"/>
    <cellStyle name="Ввод  3 3 2 3 2 6" xfId="20455"/>
    <cellStyle name="Ввод  3 3 2 3 2 7" xfId="21584"/>
    <cellStyle name="Ввод  3 3 2 3 3" xfId="6292"/>
    <cellStyle name="Ввод  3 3 2 3 3 2" xfId="24094"/>
    <cellStyle name="Ввод  3 3 2 3 3 3" xfId="22125"/>
    <cellStyle name="Ввод  3 3 2 3 4" xfId="19137"/>
    <cellStyle name="Ввод  3 3 2 3 4 2" xfId="22545"/>
    <cellStyle name="Ввод  3 3 2 3 5" xfId="23261"/>
    <cellStyle name="Ввод  3 3 2 3 6" xfId="20171"/>
    <cellStyle name="Ввод  3 3 2 3 7" xfId="23770"/>
    <cellStyle name="Ввод  3 3 2 4" xfId="5581"/>
    <cellStyle name="Ввод  3 3 2 4 2" xfId="21020"/>
    <cellStyle name="Ввод  3 3 2 4 3" xfId="22504"/>
    <cellStyle name="Ввод  3 3 2 4 4" xfId="22994"/>
    <cellStyle name="Ввод  3 3 2 4 5" xfId="20330"/>
    <cellStyle name="Ввод  3 3 2 4 6" xfId="23768"/>
    <cellStyle name="Ввод  3 3 2 4 7" xfId="21282"/>
    <cellStyle name="Ввод  3 3 2 5" xfId="5916"/>
    <cellStyle name="Ввод  3 3 2 5 2" xfId="20641"/>
    <cellStyle name="Ввод  3 3 2 5 3" xfId="22839"/>
    <cellStyle name="Ввод  3 3 2 5 4" xfId="19310"/>
    <cellStyle name="Ввод  3 3 2 5 5" xfId="19775"/>
    <cellStyle name="Ввод  3 3 2 5 6" xfId="23587"/>
    <cellStyle name="Ввод  3 3 2 5 7" xfId="21543"/>
    <cellStyle name="Ввод  3 3 2 6" xfId="6251"/>
    <cellStyle name="Ввод  3 3 2 6 2" xfId="24053"/>
    <cellStyle name="Ввод  3 3 2 6 3" xfId="19802"/>
    <cellStyle name="Ввод  3 3 2 7" xfId="19096"/>
    <cellStyle name="Ввод  3 3 2 7 2" xfId="19261"/>
    <cellStyle name="Ввод  3 3 2 8" xfId="21949"/>
    <cellStyle name="Ввод  3 3 2 9" xfId="19521"/>
    <cellStyle name="Ввод  3 3 3" xfId="5401"/>
    <cellStyle name="Ввод  3 3 3 2" xfId="19333"/>
    <cellStyle name="Ввод  3 3 3 3" xfId="22324"/>
    <cellStyle name="Ввод  3 3 3 4" xfId="23037"/>
    <cellStyle name="Ввод  3 3 3 5" xfId="19597"/>
    <cellStyle name="Ввод  3 3 3 6" xfId="19965"/>
    <cellStyle name="Ввод  3 3 3 7" xfId="21207"/>
    <cellStyle name="Ввод  3 3 4" xfId="5736"/>
    <cellStyle name="Ввод  3 3 4 2" xfId="20662"/>
    <cellStyle name="Ввод  3 3 4 3" xfId="22659"/>
    <cellStyle name="Ввод  3 3 4 4" xfId="19849"/>
    <cellStyle name="Ввод  3 3 4 5" xfId="21793"/>
    <cellStyle name="Ввод  3 3 4 6" xfId="19939"/>
    <cellStyle name="Ввод  3 3 4 7" xfId="21363"/>
    <cellStyle name="Ввод  3 3 5" xfId="6071"/>
    <cellStyle name="Ввод  3 3 5 2" xfId="23873"/>
    <cellStyle name="Ввод  3 3 5 3" xfId="20694"/>
    <cellStyle name="Ввод  3 3 6" xfId="18916"/>
    <cellStyle name="Ввод  3 3 6 2" xfId="21731"/>
    <cellStyle name="Ввод  3 3 7" xfId="19370"/>
    <cellStyle name="Ввод  3 3 8" xfId="19972"/>
    <cellStyle name="Ввод  3 3 9" xfId="20610"/>
    <cellStyle name="Ввод  3 4" xfId="1721"/>
    <cellStyle name="Ввод  3 4 2" xfId="3279"/>
    <cellStyle name="Ввод  3 4 2 10" xfId="23034"/>
    <cellStyle name="Ввод  3 4 2 2" xfId="5465"/>
    <cellStyle name="Ввод  3 4 2 2 2" xfId="5800"/>
    <cellStyle name="Ввод  3 4 2 2 2 2" xfId="20404"/>
    <cellStyle name="Ввод  3 4 2 2 2 3" xfId="22723"/>
    <cellStyle name="Ввод  3 4 2 2 2 4" xfId="22089"/>
    <cellStyle name="Ввод  3 4 2 2 2 5" xfId="19464"/>
    <cellStyle name="Ввод  3 4 2 2 2 6" xfId="23525"/>
    <cellStyle name="Ввод  3 4 2 2 2 7" xfId="21427"/>
    <cellStyle name="Ввод  3 4 2 2 3" xfId="6135"/>
    <cellStyle name="Ввод  3 4 2 2 3 2" xfId="23937"/>
    <cellStyle name="Ввод  3 4 2 2 3 3" xfId="22175"/>
    <cellStyle name="Ввод  3 4 2 2 4" xfId="18980"/>
    <cellStyle name="Ввод  3 4 2 2 4 2" xfId="22388"/>
    <cellStyle name="Ввод  3 4 2 2 5" xfId="23325"/>
    <cellStyle name="Ввод  3 4 2 2 6" xfId="19858"/>
    <cellStyle name="Ввод  3 4 2 2 7" xfId="23672"/>
    <cellStyle name="Ввод  3 4 2 3" xfId="5648"/>
    <cellStyle name="Ввод  3 4 2 3 2" xfId="5983"/>
    <cellStyle name="Ввод  3 4 2 3 2 2" xfId="19213"/>
    <cellStyle name="Ввод  3 4 2 3 2 3" xfId="22906"/>
    <cellStyle name="Ввод  3 4 2 3 2 4" xfId="20512"/>
    <cellStyle name="Ввод  3 4 2 3 2 5" xfId="19337"/>
    <cellStyle name="Ввод  3 4 2 3 2 6" xfId="20700"/>
    <cellStyle name="Ввод  3 4 2 3 2 7" xfId="21610"/>
    <cellStyle name="Ввод  3 4 2 3 3" xfId="6318"/>
    <cellStyle name="Ввод  3 4 2 3 3 2" xfId="24120"/>
    <cellStyle name="Ввод  3 4 2 3 3 3" xfId="21859"/>
    <cellStyle name="Ввод  3 4 2 3 4" xfId="19163"/>
    <cellStyle name="Ввод  3 4 2 3 4 2" xfId="22571"/>
    <cellStyle name="Ввод  3 4 2 3 5" xfId="22985"/>
    <cellStyle name="Ввод  3 4 2 3 6" xfId="22010"/>
    <cellStyle name="Ввод  3 4 2 3 7" xfId="23769"/>
    <cellStyle name="Ввод  3 4 2 4" xfId="5596"/>
    <cellStyle name="Ввод  3 4 2 4 2" xfId="19664"/>
    <cellStyle name="Ввод  3 4 2 4 3" xfId="22519"/>
    <cellStyle name="Ввод  3 4 2 4 4" xfId="21913"/>
    <cellStyle name="Ввод  3 4 2 4 5" xfId="21138"/>
    <cellStyle name="Ввод  3 4 2 4 6" xfId="19883"/>
    <cellStyle name="Ввод  3 4 2 4 7" xfId="21297"/>
    <cellStyle name="Ввод  3 4 2 5" xfId="5931"/>
    <cellStyle name="Ввод  3 4 2 5 2" xfId="19403"/>
    <cellStyle name="Ввод  3 4 2 5 3" xfId="22854"/>
    <cellStyle name="Ввод  3 4 2 5 4" xfId="19814"/>
    <cellStyle name="Ввод  3 4 2 5 5" xfId="19621"/>
    <cellStyle name="Ввод  3 4 2 5 6" xfId="23652"/>
    <cellStyle name="Ввод  3 4 2 5 7" xfId="21558"/>
    <cellStyle name="Ввод  3 4 2 6" xfId="6266"/>
    <cellStyle name="Ввод  3 4 2 6 2" xfId="24068"/>
    <cellStyle name="Ввод  3 4 2 6 3" xfId="19579"/>
    <cellStyle name="Ввод  3 4 2 7" xfId="19111"/>
    <cellStyle name="Ввод  3 4 2 7 2" xfId="20302"/>
    <cellStyle name="Ввод  3 4 2 8" xfId="20293"/>
    <cellStyle name="Ввод  3 4 2 9" xfId="19451"/>
    <cellStyle name="Ввод  3 4 3" xfId="5416"/>
    <cellStyle name="Ввод  3 4 3 2" xfId="22069"/>
    <cellStyle name="Ввод  3 4 3 3" xfId="22339"/>
    <cellStyle name="Ввод  3 4 3 4" xfId="20308"/>
    <cellStyle name="Ввод  3 4 3 5" xfId="21715"/>
    <cellStyle name="Ввод  3 4 3 6" xfId="23820"/>
    <cellStyle name="Ввод  3 4 3 7" xfId="21222"/>
    <cellStyle name="Ввод  3 4 4" xfId="5751"/>
    <cellStyle name="Ввод  3 4 4 2" xfId="20491"/>
    <cellStyle name="Ввод  3 4 4 3" xfId="22674"/>
    <cellStyle name="Ввод  3 4 4 4" xfId="20370"/>
    <cellStyle name="Ввод  3 4 4 5" xfId="22163"/>
    <cellStyle name="Ввод  3 4 4 6" xfId="21880"/>
    <cellStyle name="Ввод  3 4 4 7" xfId="21378"/>
    <cellStyle name="Ввод  3 4 5" xfId="6086"/>
    <cellStyle name="Ввод  3 4 5 2" xfId="23888"/>
    <cellStyle name="Ввод  3 4 5 3" xfId="19347"/>
    <cellStyle name="Ввод  3 4 6" xfId="18931"/>
    <cellStyle name="Ввод  3 4 6 2" xfId="21752"/>
    <cellStyle name="Ввод  3 4 7" xfId="22971"/>
    <cellStyle name="Ввод  3 4 8" xfId="23615"/>
    <cellStyle name="Ввод  3 4 9" xfId="21818"/>
    <cellStyle name="Ввод  3 5" xfId="2952"/>
    <cellStyle name="Ввод  3 5 10" xfId="19297"/>
    <cellStyle name="Ввод  3 5 2" xfId="5478"/>
    <cellStyle name="Ввод  3 5 2 2" xfId="5813"/>
    <cellStyle name="Ввод  3 5 2 2 2" xfId="19613"/>
    <cellStyle name="Ввод  3 5 2 2 3" xfId="22736"/>
    <cellStyle name="Ввод  3 5 2 2 4" xfId="21845"/>
    <cellStyle name="Ввод  3 5 2 2 5" xfId="23432"/>
    <cellStyle name="Ввод  3 5 2 2 6" xfId="19380"/>
    <cellStyle name="Ввод  3 5 2 2 7" xfId="21440"/>
    <cellStyle name="Ввод  3 5 2 3" xfId="6148"/>
    <cellStyle name="Ввод  3 5 2 3 2" xfId="23950"/>
    <cellStyle name="Ввод  3 5 2 3 3" xfId="20953"/>
    <cellStyle name="Ввод  3 5 2 4" xfId="18993"/>
    <cellStyle name="Ввод  3 5 2 4 2" xfId="22401"/>
    <cellStyle name="Ввод  3 5 2 5" xfId="23060"/>
    <cellStyle name="Ввод  3 5 2 6" xfId="20248"/>
    <cellStyle name="Ввод  3 5 2 7" xfId="23701"/>
    <cellStyle name="Ввод  3 5 3" xfId="5680"/>
    <cellStyle name="Ввод  3 5 3 2" xfId="6015"/>
    <cellStyle name="Ввод  3 5 3 2 2" xfId="20615"/>
    <cellStyle name="Ввод  3 5 3 2 3" xfId="22938"/>
    <cellStyle name="Ввод  3 5 3 2 4" xfId="23410"/>
    <cellStyle name="Ввод  3 5 3 2 5" xfId="23636"/>
    <cellStyle name="Ввод  3 5 3 2 6" xfId="20505"/>
    <cellStyle name="Ввод  3 5 3 2 7" xfId="21642"/>
    <cellStyle name="Ввод  3 5 3 3" xfId="6350"/>
    <cellStyle name="Ввод  3 5 3 3 2" xfId="24152"/>
    <cellStyle name="Ввод  3 5 3 3 3" xfId="19928"/>
    <cellStyle name="Ввод  3 5 3 4" xfId="19195"/>
    <cellStyle name="Ввод  3 5 3 4 2" xfId="22603"/>
    <cellStyle name="Ввод  3 5 3 5" xfId="23070"/>
    <cellStyle name="Ввод  3 5 3 6" xfId="22972"/>
    <cellStyle name="Ввод  3 5 3 7" xfId="23477"/>
    <cellStyle name="Ввод  3 5 4" xfId="5379"/>
    <cellStyle name="Ввод  3 5 4 2" xfId="20810"/>
    <cellStyle name="Ввод  3 5 4 3" xfId="22302"/>
    <cellStyle name="Ввод  3 5 4 4" xfId="23231"/>
    <cellStyle name="Ввод  3 5 4 5" xfId="21120"/>
    <cellStyle name="Ввод  3 5 4 6" xfId="23210"/>
    <cellStyle name="Ввод  3 5 4 7" xfId="21185"/>
    <cellStyle name="Ввод  3 5 5" xfId="5714"/>
    <cellStyle name="Ввод  3 5 5 2" xfId="22090"/>
    <cellStyle name="Ввод  3 5 5 3" xfId="22637"/>
    <cellStyle name="Ввод  3 5 5 4" xfId="20296"/>
    <cellStyle name="Ввод  3 5 5 5" xfId="21995"/>
    <cellStyle name="Ввод  3 5 5 6" xfId="23802"/>
    <cellStyle name="Ввод  3 5 5 7" xfId="21341"/>
    <cellStyle name="Ввод  3 5 6" xfId="6049"/>
    <cellStyle name="Ввод  3 5 6 2" xfId="23851"/>
    <cellStyle name="Ввод  3 5 6 3" xfId="21753"/>
    <cellStyle name="Ввод  3 5 7" xfId="18894"/>
    <cellStyle name="Ввод  3 5 7 2" xfId="20174"/>
    <cellStyle name="Ввод  3 5 8" xfId="21842"/>
    <cellStyle name="Ввод  3 5 9" xfId="20972"/>
    <cellStyle name="Ввод  3 6" xfId="3239"/>
    <cellStyle name="Ввод  3 6 10" xfId="22254"/>
    <cellStyle name="Ввод  3 6 2" xfId="5491"/>
    <cellStyle name="Ввод  3 6 2 2" xfId="5826"/>
    <cellStyle name="Ввод  3 6 2 2 2" xfId="19771"/>
    <cellStyle name="Ввод  3 6 2 2 3" xfId="22749"/>
    <cellStyle name="Ввод  3 6 2 2 4" xfId="19376"/>
    <cellStyle name="Ввод  3 6 2 2 5" xfId="19962"/>
    <cellStyle name="Ввод  3 6 2 2 6" xfId="23526"/>
    <cellStyle name="Ввод  3 6 2 2 7" xfId="21453"/>
    <cellStyle name="Ввод  3 6 2 3" xfId="6161"/>
    <cellStyle name="Ввод  3 6 2 3 2" xfId="23963"/>
    <cellStyle name="Ввод  3 6 2 3 3" xfId="20265"/>
    <cellStyle name="Ввод  3 6 2 4" xfId="19006"/>
    <cellStyle name="Ввод  3 6 2 4 2" xfId="22414"/>
    <cellStyle name="Ввод  3 6 2 5" xfId="20559"/>
    <cellStyle name="Ввод  3 6 2 6" xfId="20137"/>
    <cellStyle name="Ввод  3 6 2 7" xfId="20917"/>
    <cellStyle name="Ввод  3 6 3" xfId="5457"/>
    <cellStyle name="Ввод  3 6 3 2" xfId="5792"/>
    <cellStyle name="Ввод  3 6 3 2 2" xfId="20625"/>
    <cellStyle name="Ввод  3 6 3 2 3" xfId="22715"/>
    <cellStyle name="Ввод  3 6 3 2 4" xfId="19993"/>
    <cellStyle name="Ввод  3 6 3 2 5" xfId="20479"/>
    <cellStyle name="Ввод  3 6 3 2 6" xfId="20938"/>
    <cellStyle name="Ввод  3 6 3 2 7" xfId="21419"/>
    <cellStyle name="Ввод  3 6 3 3" xfId="6127"/>
    <cellStyle name="Ввод  3 6 3 3 2" xfId="23929"/>
    <cellStyle name="Ввод  3 6 3 3 3" xfId="20136"/>
    <cellStyle name="Ввод  3 6 3 4" xfId="18972"/>
    <cellStyle name="Ввод  3 6 3 4 2" xfId="22380"/>
    <cellStyle name="Ввод  3 6 3 5" xfId="23295"/>
    <cellStyle name="Ввод  3 6 3 6" xfId="22121"/>
    <cellStyle name="Ввод  3 6 3 7" xfId="22224"/>
    <cellStyle name="Ввод  3 6 4" xfId="5556"/>
    <cellStyle name="Ввод  3 6 4 2" xfId="22154"/>
    <cellStyle name="Ввод  3 6 4 3" xfId="22479"/>
    <cellStyle name="Ввод  3 6 4 4" xfId="23340"/>
    <cellStyle name="Ввод  3 6 4 5" xfId="23454"/>
    <cellStyle name="Ввод  3 6 4 6" xfId="23825"/>
    <cellStyle name="Ввод  3 6 4 7" xfId="21257"/>
    <cellStyle name="Ввод  3 6 5" xfId="5891"/>
    <cellStyle name="Ввод  3 6 5 2" xfId="19528"/>
    <cellStyle name="Ввод  3 6 5 3" xfId="22814"/>
    <cellStyle name="Ввод  3 6 5 4" xfId="20126"/>
    <cellStyle name="Ввод  3 6 5 5" xfId="21122"/>
    <cellStyle name="Ввод  3 6 5 6" xfId="20316"/>
    <cellStyle name="Ввод  3 6 5 7" xfId="21518"/>
    <cellStyle name="Ввод  3 6 6" xfId="6226"/>
    <cellStyle name="Ввод  3 6 6 2" xfId="24028"/>
    <cellStyle name="Ввод  3 6 6 3" xfId="20283"/>
    <cellStyle name="Ввод  3 6 7" xfId="19071"/>
    <cellStyle name="Ввод  3 6 7 2" xfId="21159"/>
    <cellStyle name="Ввод  3 6 8" xfId="20532"/>
    <cellStyle name="Ввод  3 6 9" xfId="20720"/>
    <cellStyle name="Ввод  3 7" xfId="5358"/>
    <cellStyle name="Ввод  3 7 2" xfId="19668"/>
    <cellStyle name="Ввод  3 7 3" xfId="22281"/>
    <cellStyle name="Ввод  3 7 4" xfId="23317"/>
    <cellStyle name="Ввод  3 7 5" xfId="23312"/>
    <cellStyle name="Ввод  3 7 6" xfId="19790"/>
    <cellStyle name="Ввод  3 7 7" xfId="21164"/>
    <cellStyle name="Ввод  3 8" xfId="5693"/>
    <cellStyle name="Ввод  3 8 2" xfId="22020"/>
    <cellStyle name="Ввод  3 8 3" xfId="22616"/>
    <cellStyle name="Ввод  3 8 4" xfId="23025"/>
    <cellStyle name="Ввод  3 8 5" xfId="21877"/>
    <cellStyle name="Ввод  3 8 6" xfId="22041"/>
    <cellStyle name="Ввод  3 8 7" xfId="21320"/>
    <cellStyle name="Ввод  3 9" xfId="6028"/>
    <cellStyle name="Ввод  3 9 2" xfId="23830"/>
    <cellStyle name="Ввод  3 9 3" xfId="20319"/>
    <cellStyle name="Вывод 2" xfId="121"/>
    <cellStyle name="Вывод 2 10" xfId="18874"/>
    <cellStyle name="Вывод 2 10 2" xfId="21005"/>
    <cellStyle name="Вывод 2 11" xfId="19738"/>
    <cellStyle name="Вывод 2 12" xfId="20622"/>
    <cellStyle name="Вывод 2 13" xfId="20381"/>
    <cellStyle name="Вывод 2 2" xfId="122"/>
    <cellStyle name="Вывод 2 2 10" xfId="18875"/>
    <cellStyle name="Вывод 2 2 10 2" xfId="20225"/>
    <cellStyle name="Вывод 2 2 11" xfId="20348"/>
    <cellStyle name="Вывод 2 2 12" xfId="19405"/>
    <cellStyle name="Вывод 2 2 13" xfId="22247"/>
    <cellStyle name="Вывод 2 2 2" xfId="646"/>
    <cellStyle name="Вывод 2 2 2 10" xfId="23657"/>
    <cellStyle name="Вывод 2 2 2 2" xfId="1781"/>
    <cellStyle name="Вывод 2 2 2 2 2" xfId="3293"/>
    <cellStyle name="Вывод 2 2 2 2 2 10" xfId="19450"/>
    <cellStyle name="Вывод 2 2 2 2 2 2" xfId="5671"/>
    <cellStyle name="Вывод 2 2 2 2 2 2 2" xfId="6006"/>
    <cellStyle name="Вывод 2 2 2 2 2 2 2 2" xfId="20563"/>
    <cellStyle name="Вывод 2 2 2 2 2 2 2 3" xfId="22929"/>
    <cellStyle name="Вывод 2 2 2 2 2 2 2 4" xfId="23401"/>
    <cellStyle name="Вывод 2 2 2 2 2 2 2 5" xfId="20548"/>
    <cellStyle name="Вывод 2 2 2 2 2 2 2 6" xfId="19324"/>
    <cellStyle name="Вывод 2 2 2 2 2 2 2 7" xfId="21633"/>
    <cellStyle name="Вывод 2 2 2 2 2 2 3" xfId="6341"/>
    <cellStyle name="Вывод 2 2 2 2 2 2 3 2" xfId="24143"/>
    <cellStyle name="Вывод 2 2 2 2 2 2 3 3" xfId="22160"/>
    <cellStyle name="Вывод 2 2 2 2 2 2 4" xfId="19186"/>
    <cellStyle name="Вывод 2 2 2 2 2 2 4 2" xfId="22594"/>
    <cellStyle name="Вывод 2 2 2 2 2 2 5" xfId="19998"/>
    <cellStyle name="Вывод 2 2 2 2 2 2 6" xfId="20751"/>
    <cellStyle name="Вывод 2 2 2 2 2 2 7" xfId="23809"/>
    <cellStyle name="Вывод 2 2 2 2 2 3" xfId="5502"/>
    <cellStyle name="Вывод 2 2 2 2 2 3 2" xfId="5837"/>
    <cellStyle name="Вывод 2 2 2 2 2 3 2 2" xfId="19214"/>
    <cellStyle name="Вывод 2 2 2 2 2 3 2 3" xfId="22760"/>
    <cellStyle name="Вывод 2 2 2 2 2 3 2 4" xfId="20671"/>
    <cellStyle name="Вывод 2 2 2 2 2 3 2 5" xfId="23255"/>
    <cellStyle name="Вывод 2 2 2 2 2 3 2 6" xfId="21865"/>
    <cellStyle name="Вывод 2 2 2 2 2 3 2 7" xfId="21464"/>
    <cellStyle name="Вывод 2 2 2 2 2 3 3" xfId="6172"/>
    <cellStyle name="Вывод 2 2 2 2 2 3 3 2" xfId="23974"/>
    <cellStyle name="Вывод 2 2 2 2 2 3 3 3" xfId="22017"/>
    <cellStyle name="Вывод 2 2 2 2 2 3 4" xfId="19017"/>
    <cellStyle name="Вывод 2 2 2 2 2 3 4 2" xfId="22425"/>
    <cellStyle name="Вывод 2 2 2 2 2 3 5" xfId="23065"/>
    <cellStyle name="Вывод 2 2 2 2 2 3 6" xfId="20378"/>
    <cellStyle name="Вывод 2 2 2 2 2 3 7" xfId="23799"/>
    <cellStyle name="Вывод 2 2 2 2 2 4" xfId="5610"/>
    <cellStyle name="Вывод 2 2 2 2 2 4 2" xfId="20525"/>
    <cellStyle name="Вывод 2 2 2 2 2 4 3" xfId="22533"/>
    <cellStyle name="Вывод 2 2 2 2 2 4 4" xfId="23119"/>
    <cellStyle name="Вывод 2 2 2 2 2 4 5" xfId="23485"/>
    <cellStyle name="Вывод 2 2 2 2 2 4 6" xfId="23780"/>
    <cellStyle name="Вывод 2 2 2 2 2 4 7" xfId="21311"/>
    <cellStyle name="Вывод 2 2 2 2 2 5" xfId="5945"/>
    <cellStyle name="Вывод 2 2 2 2 2 5 2" xfId="20169"/>
    <cellStyle name="Вывод 2 2 2 2 2 5 3" xfId="22868"/>
    <cellStyle name="Вывод 2 2 2 2 2 5 4" xfId="22278"/>
    <cellStyle name="Вывод 2 2 2 2 2 5 5" xfId="20380"/>
    <cellStyle name="Вывод 2 2 2 2 2 5 6" xfId="21746"/>
    <cellStyle name="Вывод 2 2 2 2 2 5 7" xfId="21572"/>
    <cellStyle name="Вывод 2 2 2 2 2 6" xfId="6280"/>
    <cellStyle name="Вывод 2 2 2 2 2 6 2" xfId="24082"/>
    <cellStyle name="Вывод 2 2 2 2 2 6 3" xfId="20826"/>
    <cellStyle name="Вывод 2 2 2 2 2 7" xfId="19125"/>
    <cellStyle name="Вывод 2 2 2 2 2 7 2" xfId="20195"/>
    <cellStyle name="Вывод 2 2 2 2 2 8" xfId="22957"/>
    <cellStyle name="Вывод 2 2 2 2 2 9" xfId="20397"/>
    <cellStyle name="Вывод 2 2 2 2 3" xfId="5430"/>
    <cellStyle name="Вывод 2 2 2 2 3 2" xfId="21988"/>
    <cellStyle name="Вывод 2 2 2 2 3 3" xfId="22353"/>
    <cellStyle name="Вывод 2 2 2 2 3 4" xfId="23371"/>
    <cellStyle name="Вывод 2 2 2 2 3 5" xfId="20120"/>
    <cellStyle name="Вывод 2 2 2 2 3 6" xfId="23720"/>
    <cellStyle name="Вывод 2 2 2 2 3 7" xfId="21236"/>
    <cellStyle name="Вывод 2 2 2 2 4" xfId="5765"/>
    <cellStyle name="Вывод 2 2 2 2 4 2" xfId="20738"/>
    <cellStyle name="Вывод 2 2 2 2 4 3" xfId="22688"/>
    <cellStyle name="Вывод 2 2 2 2 4 4" xfId="19564"/>
    <cellStyle name="Вывод 2 2 2 2 4 5" xfId="20619"/>
    <cellStyle name="Вывод 2 2 2 2 4 6" xfId="23492"/>
    <cellStyle name="Вывод 2 2 2 2 4 7" xfId="21392"/>
    <cellStyle name="Вывод 2 2 2 2 5" xfId="6100"/>
    <cellStyle name="Вывод 2 2 2 2 5 2" xfId="23902"/>
    <cellStyle name="Вывод 2 2 2 2 5 3" xfId="21894"/>
    <cellStyle name="Вывод 2 2 2 2 6" xfId="18945"/>
    <cellStyle name="Вывод 2 2 2 2 6 2" xfId="21908"/>
    <cellStyle name="Вывод 2 2 2 2 7" xfId="19541"/>
    <cellStyle name="Вывод 2 2 2 2 8" xfId="19663"/>
    <cellStyle name="Вывод 2 2 2 2 9" xfId="23714"/>
    <cellStyle name="Вывод 2 2 2 3" xfId="3255"/>
    <cellStyle name="Вывод 2 2 2 3 10" xfId="23029"/>
    <cellStyle name="Вывод 2 2 2 3 2" xfId="5487"/>
    <cellStyle name="Вывод 2 2 2 3 2 2" xfId="5822"/>
    <cellStyle name="Вывод 2 2 2 3 2 2 2" xfId="20288"/>
    <cellStyle name="Вывод 2 2 2 3 2 2 3" xfId="22745"/>
    <cellStyle name="Вывод 2 2 2 3 2 2 4" xfId="20697"/>
    <cellStyle name="Вывод 2 2 2 3 2 2 5" xfId="20652"/>
    <cellStyle name="Вывод 2 2 2 3 2 2 6" xfId="20463"/>
    <cellStyle name="Вывод 2 2 2 3 2 2 7" xfId="21449"/>
    <cellStyle name="Вывод 2 2 2 3 2 3" xfId="6157"/>
    <cellStyle name="Вывод 2 2 2 3 2 3 2" xfId="23959"/>
    <cellStyle name="Вывод 2 2 2 3 2 3 3" xfId="19455"/>
    <cellStyle name="Вывод 2 2 2 3 2 4" xfId="19002"/>
    <cellStyle name="Вывод 2 2 2 3 2 4 2" xfId="22410"/>
    <cellStyle name="Вывод 2 2 2 3 2 5" xfId="23072"/>
    <cellStyle name="Вывод 2 2 2 3 2 6" xfId="23620"/>
    <cellStyle name="Вывод 2 2 2 3 2 7" xfId="20108"/>
    <cellStyle name="Вывод 2 2 2 3 3" xfId="5484"/>
    <cellStyle name="Вывод 2 2 2 3 3 2" xfId="5819"/>
    <cellStyle name="Вывод 2 2 2 3 3 2 2" xfId="22173"/>
    <cellStyle name="Вывод 2 2 2 3 3 2 3" xfId="22742"/>
    <cellStyle name="Вывод 2 2 2 3 3 2 4" xfId="19589"/>
    <cellStyle name="Вывод 2 2 2 3 3 2 5" xfId="20063"/>
    <cellStyle name="Вывод 2 2 2 3 3 2 6" xfId="23782"/>
    <cellStyle name="Вывод 2 2 2 3 3 2 7" xfId="21446"/>
    <cellStyle name="Вывод 2 2 2 3 3 3" xfId="6154"/>
    <cellStyle name="Вывод 2 2 2 3 3 3 2" xfId="23956"/>
    <cellStyle name="Вывод 2 2 2 3 3 3 3" xfId="19682"/>
    <cellStyle name="Вывод 2 2 2 3 3 4" xfId="18999"/>
    <cellStyle name="Вывод 2 2 2 3 3 4 2" xfId="22407"/>
    <cellStyle name="Вывод 2 2 2 3 3 5" xfId="23341"/>
    <cellStyle name="Вывод 2 2 2 3 3 6" xfId="20218"/>
    <cellStyle name="Вывод 2 2 2 3 3 7" xfId="22082"/>
    <cellStyle name="Вывод 2 2 2 3 4" xfId="5572"/>
    <cellStyle name="Вывод 2 2 2 3 4 2" xfId="19761"/>
    <cellStyle name="Вывод 2 2 2 3 4 3" xfId="22495"/>
    <cellStyle name="Вывод 2 2 2 3 4 4" xfId="19472"/>
    <cellStyle name="Вывод 2 2 2 3 4 5" xfId="20486"/>
    <cellStyle name="Вывод 2 2 2 3 4 6" xfId="23739"/>
    <cellStyle name="Вывод 2 2 2 3 4 7" xfId="21273"/>
    <cellStyle name="Вывод 2 2 2 3 5" xfId="5907"/>
    <cellStyle name="Вывод 2 2 2 3 5 2" xfId="20415"/>
    <cellStyle name="Вывод 2 2 2 3 5 3" xfId="22830"/>
    <cellStyle name="Вывод 2 2 2 3 5 4" xfId="20113"/>
    <cellStyle name="Вывод 2 2 2 3 5 5" xfId="20231"/>
    <cellStyle name="Вывод 2 2 2 3 5 6" xfId="20220"/>
    <cellStyle name="Вывод 2 2 2 3 5 7" xfId="21534"/>
    <cellStyle name="Вывод 2 2 2 3 6" xfId="6242"/>
    <cellStyle name="Вывод 2 2 2 3 6 2" xfId="24044"/>
    <cellStyle name="Вывод 2 2 2 3 6 3" xfId="19794"/>
    <cellStyle name="Вывод 2 2 2 3 7" xfId="19087"/>
    <cellStyle name="Вывод 2 2 2 3 7 2" xfId="19777"/>
    <cellStyle name="Вывод 2 2 2 3 8" xfId="20514"/>
    <cellStyle name="Вывод 2 2 2 3 9" xfId="19400"/>
    <cellStyle name="Вывод 2 2 2 4" xfId="5392"/>
    <cellStyle name="Вывод 2 2 2 4 2" xfId="20072"/>
    <cellStyle name="Вывод 2 2 2 4 3" xfId="22315"/>
    <cellStyle name="Вывод 2 2 2 4 4" xfId="22987"/>
    <cellStyle name="Вывод 2 2 2 4 5" xfId="23528"/>
    <cellStyle name="Вывод 2 2 2 4 6" xfId="19626"/>
    <cellStyle name="Вывод 2 2 2 4 7" xfId="21198"/>
    <cellStyle name="Вывод 2 2 2 5" xfId="5727"/>
    <cellStyle name="Вывод 2 2 2 5 2" xfId="21885"/>
    <cellStyle name="Вывод 2 2 2 5 3" xfId="22650"/>
    <cellStyle name="Вывод 2 2 2 5 4" xfId="19797"/>
    <cellStyle name="Вывод 2 2 2 5 5" xfId="23527"/>
    <cellStyle name="Вывод 2 2 2 5 6" xfId="23713"/>
    <cellStyle name="Вывод 2 2 2 5 7" xfId="21354"/>
    <cellStyle name="Вывод 2 2 2 6" xfId="6062"/>
    <cellStyle name="Вывод 2 2 2 6 2" xfId="23864"/>
    <cellStyle name="Вывод 2 2 2 6 3" xfId="19983"/>
    <cellStyle name="Вывод 2 2 2 7" xfId="18907"/>
    <cellStyle name="Вывод 2 2 2 7 2" xfId="19353"/>
    <cellStyle name="Вывод 2 2 2 8" xfId="19554"/>
    <cellStyle name="Вывод 2 2 2 9" xfId="20564"/>
    <cellStyle name="Вывод 2 2 3" xfId="1190"/>
    <cellStyle name="Вывод 2 2 3 2" xfId="3266"/>
    <cellStyle name="Вывод 2 2 3 2 10" xfId="19639"/>
    <cellStyle name="Вывод 2 2 3 2 2" xfId="5523"/>
    <cellStyle name="Вывод 2 2 3 2 2 2" xfId="5858"/>
    <cellStyle name="Вывод 2 2 3 2 2 2 2" xfId="20931"/>
    <cellStyle name="Вывод 2 2 3 2 2 2 3" xfId="22781"/>
    <cellStyle name="Вывод 2 2 3 2 2 2 4" xfId="21083"/>
    <cellStyle name="Вывод 2 2 3 2 2 2 5" xfId="19702"/>
    <cellStyle name="Вывод 2 2 3 2 2 2 6" xfId="20542"/>
    <cellStyle name="Вывод 2 2 3 2 2 2 7" xfId="21485"/>
    <cellStyle name="Вывод 2 2 3 2 2 3" xfId="6193"/>
    <cellStyle name="Вывод 2 2 3 2 2 3 2" xfId="23995"/>
    <cellStyle name="Вывод 2 2 3 2 2 3 3" xfId="22088"/>
    <cellStyle name="Вывод 2 2 3 2 2 4" xfId="19038"/>
    <cellStyle name="Вывод 2 2 3 2 2 4 2" xfId="22446"/>
    <cellStyle name="Вывод 2 2 3 2 2 5" xfId="23323"/>
    <cellStyle name="Вывод 2 2 3 2 2 6" xfId="21761"/>
    <cellStyle name="Вывод 2 2 3 2 2 7" xfId="23681"/>
    <cellStyle name="Вывод 2 2 3 2 3" xfId="5509"/>
    <cellStyle name="Вывод 2 2 3 2 3 2" xfId="5844"/>
    <cellStyle name="Вывод 2 2 3 2 3 2 2" xfId="21019"/>
    <cellStyle name="Вывод 2 2 3 2 3 2 3" xfId="22767"/>
    <cellStyle name="Вывод 2 2 3 2 3 2 4" xfId="20272"/>
    <cellStyle name="Вывод 2 2 3 2 3 2 5" xfId="19684"/>
    <cellStyle name="Вывод 2 2 3 2 3 2 6" xfId="21654"/>
    <cellStyle name="Вывод 2 2 3 2 3 2 7" xfId="21471"/>
    <cellStyle name="Вывод 2 2 3 2 3 3" xfId="6179"/>
    <cellStyle name="Вывод 2 2 3 2 3 3 2" xfId="23981"/>
    <cellStyle name="Вывод 2 2 3 2 3 3 3" xfId="19912"/>
    <cellStyle name="Вывод 2 2 3 2 3 4" xfId="19024"/>
    <cellStyle name="Вывод 2 2 3 2 3 4 2" xfId="22432"/>
    <cellStyle name="Вывод 2 2 3 2 3 5" xfId="23057"/>
    <cellStyle name="Вывод 2 2 3 2 3 6" xfId="20425"/>
    <cellStyle name="Вывод 2 2 3 2 3 7" xfId="19573"/>
    <cellStyle name="Вывод 2 2 3 2 4" xfId="5583"/>
    <cellStyle name="Вывод 2 2 3 2 4 2" xfId="22197"/>
    <cellStyle name="Вывод 2 2 3 2 4 3" xfId="22506"/>
    <cellStyle name="Вывод 2 2 3 2 4 4" xfId="23181"/>
    <cellStyle name="Вывод 2 2 3 2 4 5" xfId="23500"/>
    <cellStyle name="Вывод 2 2 3 2 4 6" xfId="19657"/>
    <cellStyle name="Вывод 2 2 3 2 4 7" xfId="21284"/>
    <cellStyle name="Вывод 2 2 3 2 5" xfId="5918"/>
    <cellStyle name="Вывод 2 2 3 2 5 2" xfId="19698"/>
    <cellStyle name="Вывод 2 2 3 2 5 3" xfId="22841"/>
    <cellStyle name="Вывод 2 2 3 2 5 4" xfId="21960"/>
    <cellStyle name="Вывод 2 2 3 2 5 5" xfId="20666"/>
    <cellStyle name="Вывод 2 2 3 2 5 6" xfId="20873"/>
    <cellStyle name="Вывод 2 2 3 2 5 7" xfId="21545"/>
    <cellStyle name="Вывод 2 2 3 2 6" xfId="6253"/>
    <cellStyle name="Вывод 2 2 3 2 6 2" xfId="24055"/>
    <cellStyle name="Вывод 2 2 3 2 6 3" xfId="20298"/>
    <cellStyle name="Вывод 2 2 3 2 7" xfId="19098"/>
    <cellStyle name="Вывод 2 2 3 2 7 2" xfId="21156"/>
    <cellStyle name="Вывод 2 2 3 2 8" xfId="19318"/>
    <cellStyle name="Вывод 2 2 3 2 9" xfId="23437"/>
    <cellStyle name="Вывод 2 2 3 3" xfId="5403"/>
    <cellStyle name="Вывод 2 2 3 3 2" xfId="20880"/>
    <cellStyle name="Вывод 2 2 3 3 3" xfId="22326"/>
    <cellStyle name="Вывод 2 2 3 3 4" xfId="23171"/>
    <cellStyle name="Вывод 2 2 3 3 5" xfId="23296"/>
    <cellStyle name="Вывод 2 2 3 3 6" xfId="19959"/>
    <cellStyle name="Вывод 2 2 3 3 7" xfId="21209"/>
    <cellStyle name="Вывод 2 2 3 4" xfId="5738"/>
    <cellStyle name="Вывод 2 2 3 4 2" xfId="19317"/>
    <cellStyle name="Вывод 2 2 3 4 3" xfId="22661"/>
    <cellStyle name="Вывод 2 2 3 4 4" xfId="19627"/>
    <cellStyle name="Вывод 2 2 3 4 5" xfId="23599"/>
    <cellStyle name="Вывод 2 2 3 4 6" xfId="23671"/>
    <cellStyle name="Вывод 2 2 3 4 7" xfId="21365"/>
    <cellStyle name="Вывод 2 2 3 5" xfId="6073"/>
    <cellStyle name="Вывод 2 2 3 5 2" xfId="23875"/>
    <cellStyle name="Вывод 2 2 3 5 3" xfId="20040"/>
    <cellStyle name="Вывод 2 2 3 6" xfId="18918"/>
    <cellStyle name="Вывод 2 2 3 6 2" xfId="20176"/>
    <cellStyle name="Вывод 2 2 3 7" xfId="19393"/>
    <cellStyle name="Вывод 2 2 3 8" xfId="20842"/>
    <cellStyle name="Вывод 2 2 3 9" xfId="19950"/>
    <cellStyle name="Вывод 2 2 4" xfId="1722"/>
    <cellStyle name="Вывод 2 2 4 2" xfId="3280"/>
    <cellStyle name="Вывод 2 2 4 2 10" xfId="23694"/>
    <cellStyle name="Вывод 2 2 4 2 2" xfId="5498"/>
    <cellStyle name="Вывод 2 2 4 2 2 2" xfId="5833"/>
    <cellStyle name="Вывод 2 2 4 2 2 2 2" xfId="19896"/>
    <cellStyle name="Вывод 2 2 4 2 2 2 3" xfId="22756"/>
    <cellStyle name="Вывод 2 2 4 2 2 2 4" xfId="20970"/>
    <cellStyle name="Вывод 2 2 4 2 2 2 5" xfId="19292"/>
    <cellStyle name="Вывод 2 2 4 2 2 2 6" xfId="23044"/>
    <cellStyle name="Вывод 2 2 4 2 2 2 7" xfId="21460"/>
    <cellStyle name="Вывод 2 2 4 2 2 3" xfId="6168"/>
    <cellStyle name="Вывод 2 2 4 2 2 3 2" xfId="23970"/>
    <cellStyle name="Вывод 2 2 4 2 2 3 3" xfId="22168"/>
    <cellStyle name="Вывод 2 2 4 2 2 4" xfId="19013"/>
    <cellStyle name="Вывод 2 2 4 2 2 4 2" xfId="22421"/>
    <cellStyle name="Вывод 2 2 4 2 2 5" xfId="23111"/>
    <cellStyle name="Вывод 2 2 4 2 2 6" xfId="22980"/>
    <cellStyle name="Вывод 2 2 4 2 2 7" xfId="23811"/>
    <cellStyle name="Вывод 2 2 4 2 3" xfId="5541"/>
    <cellStyle name="Вывод 2 2 4 2 3 2" xfId="5876"/>
    <cellStyle name="Вывод 2 2 4 2 3 2 2" xfId="20300"/>
    <cellStyle name="Вывод 2 2 4 2 3 2 3" xfId="22799"/>
    <cellStyle name="Вывод 2 2 4 2 3 2 4" xfId="20821"/>
    <cellStyle name="Вывод 2 2 4 2 3 2 5" xfId="22048"/>
    <cellStyle name="Вывод 2 2 4 2 3 2 6" xfId="19710"/>
    <cellStyle name="Вывод 2 2 4 2 3 2 7" xfId="21503"/>
    <cellStyle name="Вывод 2 2 4 2 3 3" xfId="6211"/>
    <cellStyle name="Вывод 2 2 4 2 3 3 2" xfId="24013"/>
    <cellStyle name="Вывод 2 2 4 2 3 3 3" xfId="22158"/>
    <cellStyle name="Вывод 2 2 4 2 3 4" xfId="19056"/>
    <cellStyle name="Вывод 2 2 4 2 3 4 2" xfId="22464"/>
    <cellStyle name="Вывод 2 2 4 2 3 5" xfId="23032"/>
    <cellStyle name="Вывод 2 2 4 2 3 6" xfId="23146"/>
    <cellStyle name="Вывод 2 2 4 2 3 7" xfId="23232"/>
    <cellStyle name="Вывод 2 2 4 2 4" xfId="5597"/>
    <cellStyle name="Вывод 2 2 4 2 4 2" xfId="20449"/>
    <cellStyle name="Вывод 2 2 4 2 4 3" xfId="22520"/>
    <cellStyle name="Вывод 2 2 4 2 4 4" xfId="23212"/>
    <cellStyle name="Вывод 2 2 4 2 4 5" xfId="23463"/>
    <cellStyle name="Вывод 2 2 4 2 4 6" xfId="21917"/>
    <cellStyle name="Вывод 2 2 4 2 4 7" xfId="21298"/>
    <cellStyle name="Вывод 2 2 4 2 5" xfId="5932"/>
    <cellStyle name="Вывод 2 2 4 2 5 2" xfId="19469"/>
    <cellStyle name="Вывод 2 2 4 2 5 3" xfId="22855"/>
    <cellStyle name="Вывод 2 2 4 2 5 4" xfId="22073"/>
    <cellStyle name="Вывод 2 2 4 2 5 5" xfId="20448"/>
    <cellStyle name="Вывод 2 2 4 2 5 6" xfId="20749"/>
    <cellStyle name="Вывод 2 2 4 2 5 7" xfId="21559"/>
    <cellStyle name="Вывод 2 2 4 2 6" xfId="6267"/>
    <cellStyle name="Вывод 2 2 4 2 6 2" xfId="24069"/>
    <cellStyle name="Вывод 2 2 4 2 6 3" xfId="21881"/>
    <cellStyle name="Вывод 2 2 4 2 7" xfId="19112"/>
    <cellStyle name="Вывод 2 2 4 2 7 2" xfId="20414"/>
    <cellStyle name="Вывод 2 2 4 2 8" xfId="20141"/>
    <cellStyle name="Вывод 2 2 4 2 9" xfId="21665"/>
    <cellStyle name="Вывод 2 2 4 3" xfId="5417"/>
    <cellStyle name="Вывод 2 2 4 3 2" xfId="20541"/>
    <cellStyle name="Вывод 2 2 4 3 3" xfId="22340"/>
    <cellStyle name="Вывод 2 2 4 3 4" xfId="23204"/>
    <cellStyle name="Вывод 2 2 4 3 5" xfId="23510"/>
    <cellStyle name="Вывод 2 2 4 3 6" xfId="20326"/>
    <cellStyle name="Вывод 2 2 4 3 7" xfId="21223"/>
    <cellStyle name="Вывод 2 2 4 4" xfId="5752"/>
    <cellStyle name="Вывод 2 2 4 4 2" xfId="20379"/>
    <cellStyle name="Вывод 2 2 4 4 3" xfId="22675"/>
    <cellStyle name="Вывод 2 2 4 4 4" xfId="19946"/>
    <cellStyle name="Вывод 2 2 4 4 5" xfId="21025"/>
    <cellStyle name="Вывод 2 2 4 4 6" xfId="21745"/>
    <cellStyle name="Вывод 2 2 4 4 7" xfId="21379"/>
    <cellStyle name="Вывод 2 2 4 5" xfId="6087"/>
    <cellStyle name="Вывод 2 2 4 5 2" xfId="23889"/>
    <cellStyle name="Вывод 2 2 4 5 3" xfId="19770"/>
    <cellStyle name="Вывод 2 2 4 6" xfId="18932"/>
    <cellStyle name="Вывод 2 2 4 6 2" xfId="20129"/>
    <cellStyle name="Вывод 2 2 4 7" xfId="21081"/>
    <cellStyle name="Вывод 2 2 4 8" xfId="20637"/>
    <cellStyle name="Вывод 2 2 4 9" xfId="21778"/>
    <cellStyle name="Вывод 2 2 5" xfId="2953"/>
    <cellStyle name="Вывод 2 2 5 10" xfId="22221"/>
    <cellStyle name="Вывод 2 2 5 2" xfId="5625"/>
    <cellStyle name="Вывод 2 2 5 2 2" xfId="5960"/>
    <cellStyle name="Вывод 2 2 5 2 2 2" xfId="20724"/>
    <cellStyle name="Вывод 2 2 5 2 2 3" xfId="22883"/>
    <cellStyle name="Вывод 2 2 5 2 2 4" xfId="21656"/>
    <cellStyle name="Вывод 2 2 5 2 2 5" xfId="19384"/>
    <cellStyle name="Вывод 2 2 5 2 2 6" xfId="19428"/>
    <cellStyle name="Вывод 2 2 5 2 2 7" xfId="21587"/>
    <cellStyle name="Вывод 2 2 5 2 3" xfId="6295"/>
    <cellStyle name="Вывод 2 2 5 2 3 2" xfId="24097"/>
    <cellStyle name="Вывод 2 2 5 2 3 3" xfId="20954"/>
    <cellStyle name="Вывод 2 2 5 2 4" xfId="19140"/>
    <cellStyle name="Вывод 2 2 5 2 4 2" xfId="22548"/>
    <cellStyle name="Вывод 2 2 5 2 5" xfId="22253"/>
    <cellStyle name="Вывод 2 2 5 2 6" xfId="19287"/>
    <cellStyle name="Вывод 2 2 5 2 7" xfId="20024"/>
    <cellStyle name="Вывод 2 2 5 3" xfId="5681"/>
    <cellStyle name="Вывод 2 2 5 3 2" xfId="6016"/>
    <cellStyle name="Вывод 2 2 5 3 2 2" xfId="20934"/>
    <cellStyle name="Вывод 2 2 5 3 2 3" xfId="22939"/>
    <cellStyle name="Вывод 2 2 5 3 2 4" xfId="23411"/>
    <cellStyle name="Вывод 2 2 5 3 2 5" xfId="23637"/>
    <cellStyle name="Вывод 2 2 5 3 2 6" xfId="19832"/>
    <cellStyle name="Вывод 2 2 5 3 2 7" xfId="21643"/>
    <cellStyle name="Вывод 2 2 5 3 3" xfId="6351"/>
    <cellStyle name="Вывод 2 2 5 3 3 2" xfId="24153"/>
    <cellStyle name="Вывод 2 2 5 3 3 3" xfId="21135"/>
    <cellStyle name="Вывод 2 2 5 3 4" xfId="19196"/>
    <cellStyle name="Вывод 2 2 5 3 4 2" xfId="22604"/>
    <cellStyle name="Вывод 2 2 5 3 5" xfId="20594"/>
    <cellStyle name="Вывод 2 2 5 3 6" xfId="23386"/>
    <cellStyle name="Вывод 2 2 5 3 7" xfId="23826"/>
    <cellStyle name="Вывод 2 2 5 4" xfId="5380"/>
    <cellStyle name="Вывод 2 2 5 4 2" xfId="20690"/>
    <cellStyle name="Вывод 2 2 5 4 3" xfId="22303"/>
    <cellStyle name="Вывод 2 2 5 4 4" xfId="23028"/>
    <cellStyle name="Вывод 2 2 5 4 5" xfId="22092"/>
    <cellStyle name="Вывод 2 2 5 4 6" xfId="23668"/>
    <cellStyle name="Вывод 2 2 5 4 7" xfId="21186"/>
    <cellStyle name="Вывод 2 2 5 5" xfId="5715"/>
    <cellStyle name="Вывод 2 2 5 5 2" xfId="20768"/>
    <cellStyle name="Вывод 2 2 5 5 3" xfId="22638"/>
    <cellStyle name="Вывод 2 2 5 5 4" xfId="22275"/>
    <cellStyle name="Вывод 2 2 5 5 5" xfId="22269"/>
    <cellStyle name="Вывод 2 2 5 5 6" xfId="20636"/>
    <cellStyle name="Вывод 2 2 5 5 7" xfId="21342"/>
    <cellStyle name="Вывод 2 2 5 6" xfId="6050"/>
    <cellStyle name="Вывод 2 2 5 6 2" xfId="23852"/>
    <cellStyle name="Вывод 2 2 5 6 3" xfId="19961"/>
    <cellStyle name="Вывод 2 2 5 7" xfId="18895"/>
    <cellStyle name="Вывод 2 2 5 7 2" xfId="21098"/>
    <cellStyle name="Вывод 2 2 5 8" xfId="20797"/>
    <cellStyle name="Вывод 2 2 5 9" xfId="19481"/>
    <cellStyle name="Вывод 2 2 6" xfId="3241"/>
    <cellStyle name="Вывод 2 2 6 10" xfId="19557"/>
    <cellStyle name="Вывод 2 2 6 2" xfId="5514"/>
    <cellStyle name="Вывод 2 2 6 2 2" xfId="5849"/>
    <cellStyle name="Вывод 2 2 6 2 2 2" xfId="21849"/>
    <cellStyle name="Вывод 2 2 6 2 2 3" xfId="22772"/>
    <cellStyle name="Вывод 2 2 6 2 2 4" xfId="20687"/>
    <cellStyle name="Вывод 2 2 6 2 2 5" xfId="23117"/>
    <cellStyle name="Вывод 2 2 6 2 2 6" xfId="20006"/>
    <cellStyle name="Вывод 2 2 6 2 2 7" xfId="21476"/>
    <cellStyle name="Вывод 2 2 6 2 3" xfId="6184"/>
    <cellStyle name="Вывод 2 2 6 2 3 2" xfId="23986"/>
    <cellStyle name="Вывод 2 2 6 2 3 3" xfId="22100"/>
    <cellStyle name="Вывод 2 2 6 2 4" xfId="19029"/>
    <cellStyle name="Вывод 2 2 6 2 4 2" xfId="22437"/>
    <cellStyle name="Вывод 2 2 6 2 5" xfId="23136"/>
    <cellStyle name="Вывод 2 2 6 2 6" xfId="21811"/>
    <cellStyle name="Вывод 2 2 6 2 7" xfId="23763"/>
    <cellStyle name="Вывод 2 2 6 3" xfId="5527"/>
    <cellStyle name="Вывод 2 2 6 3 2" xfId="5862"/>
    <cellStyle name="Вывод 2 2 6 3 2 2" xfId="20244"/>
    <cellStyle name="Вывод 2 2 6 3 2 3" xfId="22785"/>
    <cellStyle name="Вывод 2 2 6 3 2 4" xfId="22277"/>
    <cellStyle name="Вывод 2 2 6 3 2 5" xfId="23540"/>
    <cellStyle name="Вывод 2 2 6 3 2 6" xfId="21771"/>
    <cellStyle name="Вывод 2 2 6 3 2 7" xfId="21489"/>
    <cellStyle name="Вывод 2 2 6 3 3" xfId="6197"/>
    <cellStyle name="Вывод 2 2 6 3 3 2" xfId="23999"/>
    <cellStyle name="Вывод 2 2 6 3 3 3" xfId="20061"/>
    <cellStyle name="Вывод 2 2 6 3 4" xfId="19042"/>
    <cellStyle name="Вывод 2 2 6 3 4 2" xfId="22450"/>
    <cellStyle name="Вывод 2 2 6 3 5" xfId="23301"/>
    <cellStyle name="Вывод 2 2 6 3 6" xfId="23474"/>
    <cellStyle name="Вывод 2 2 6 3 7" xfId="20066"/>
    <cellStyle name="Вывод 2 2 6 4" xfId="5558"/>
    <cellStyle name="Вывод 2 2 6 4 2" xfId="21912"/>
    <cellStyle name="Вывод 2 2 6 4 3" xfId="22481"/>
    <cellStyle name="Вывод 2 2 6 4 4" xfId="23243"/>
    <cellStyle name="Вывод 2 2 6 4 5" xfId="23598"/>
    <cellStyle name="Вывод 2 2 6 4 6" xfId="23758"/>
    <cellStyle name="Вывод 2 2 6 4 7" xfId="21259"/>
    <cellStyle name="Вывод 2 2 6 5" xfId="5893"/>
    <cellStyle name="Вывод 2 2 6 5 2" xfId="19446"/>
    <cellStyle name="Вывод 2 2 6 5 3" xfId="22816"/>
    <cellStyle name="Вывод 2 2 6 5 4" xfId="19830"/>
    <cellStyle name="Вывод 2 2 6 5 5" xfId="19705"/>
    <cellStyle name="Вывод 2 2 6 5 6" xfId="23577"/>
    <cellStyle name="Вывод 2 2 6 5 7" xfId="21520"/>
    <cellStyle name="Вывод 2 2 6 6" xfId="6228"/>
    <cellStyle name="Вывод 2 2 6 6 2" xfId="24030"/>
    <cellStyle name="Вывод 2 2 6 6 3" xfId="20322"/>
    <cellStyle name="Вывод 2 2 6 7" xfId="19073"/>
    <cellStyle name="Вывод 2 2 6 7 2" xfId="20967"/>
    <cellStyle name="Вывод 2 2 6 8" xfId="19490"/>
    <cellStyle name="Вывод 2 2 6 9" xfId="20935"/>
    <cellStyle name="Вывод 2 2 7" xfId="5360"/>
    <cellStyle name="Вывод 2 2 7 2" xfId="20708"/>
    <cellStyle name="Вывод 2 2 7 3" xfId="22283"/>
    <cellStyle name="Вывод 2 2 7 4" xfId="23239"/>
    <cellStyle name="Вывод 2 2 7 5" xfId="23605"/>
    <cellStyle name="Вывод 2 2 7 6" xfId="22983"/>
    <cellStyle name="Вывод 2 2 7 7" xfId="21166"/>
    <cellStyle name="Вывод 2 2 8" xfId="5695"/>
    <cellStyle name="Вывод 2 2 8 2" xfId="22138"/>
    <cellStyle name="Вывод 2 2 8 3" xfId="22618"/>
    <cellStyle name="Вывод 2 2 8 4" xfId="23142"/>
    <cellStyle name="Вывод 2 2 8 5" xfId="21130"/>
    <cellStyle name="Вывод 2 2 8 6" xfId="23705"/>
    <cellStyle name="Вывод 2 2 8 7" xfId="21322"/>
    <cellStyle name="Вывод 2 2 9" xfId="6030"/>
    <cellStyle name="Вывод 2 2 9 2" xfId="23832"/>
    <cellStyle name="Вывод 2 2 9 3" xfId="19806"/>
    <cellStyle name="Вывод 2 3" xfId="123"/>
    <cellStyle name="Вывод 2 3 10" xfId="23733"/>
    <cellStyle name="Вывод 2 3 2" xfId="1723"/>
    <cellStyle name="Вывод 2 3 2 2" xfId="3281"/>
    <cellStyle name="Вывод 2 3 2 2 10" xfId="19816"/>
    <cellStyle name="Вывод 2 3 2 2 2" xfId="5641"/>
    <cellStyle name="Вывод 2 3 2 2 2 2" xfId="5976"/>
    <cellStyle name="Вывод 2 3 2 2 2 2 2" xfId="21850"/>
    <cellStyle name="Вывод 2 3 2 2 2 2 3" xfId="22899"/>
    <cellStyle name="Вывод 2 3 2 2 2 2 4" xfId="21051"/>
    <cellStyle name="Вывод 2 3 2 2 2 2 5" xfId="21830"/>
    <cellStyle name="Вывод 2 3 2 2 2 2 6" xfId="20705"/>
    <cellStyle name="Вывод 2 3 2 2 2 2 7" xfId="21603"/>
    <cellStyle name="Вывод 2 3 2 2 2 3" xfId="6311"/>
    <cellStyle name="Вывод 2 3 2 2 2 3 2" xfId="24113"/>
    <cellStyle name="Вывод 2 3 2 2 2 3 3" xfId="22024"/>
    <cellStyle name="Вывод 2 3 2 2 2 4" xfId="19156"/>
    <cellStyle name="Вывод 2 3 2 2 2 4 2" xfId="22564"/>
    <cellStyle name="Вывод 2 3 2 2 2 5" xfId="23169"/>
    <cellStyle name="Вывод 2 3 2 2 2 6" xfId="21067"/>
    <cellStyle name="Вывод 2 3 2 2 2 7" xfId="23711"/>
    <cellStyle name="Вывод 2 3 2 2 3" xfId="5662"/>
    <cellStyle name="Вывод 2 3 2 2 3 2" xfId="5997"/>
    <cellStyle name="Вывод 2 3 2 2 3 2 2" xfId="21671"/>
    <cellStyle name="Вывод 2 3 2 2 3 2 3" xfId="22920"/>
    <cellStyle name="Вывод 2 3 2 2 3 2 4" xfId="23392"/>
    <cellStyle name="Вывод 2 3 2 2 3 2 5" xfId="20429"/>
    <cellStyle name="Вывод 2 3 2 2 3 2 6" xfId="20099"/>
    <cellStyle name="Вывод 2 3 2 2 3 2 7" xfId="21624"/>
    <cellStyle name="Вывод 2 3 2 2 3 3" xfId="6332"/>
    <cellStyle name="Вывод 2 3 2 2 3 3 2" xfId="24134"/>
    <cellStyle name="Вывод 2 3 2 2 3 3 3" xfId="22134"/>
    <cellStyle name="Вывод 2 3 2 2 3 4" xfId="19177"/>
    <cellStyle name="Вывод 2 3 2 2 3 4 2" xfId="22585"/>
    <cellStyle name="Вывод 2 3 2 2 3 5" xfId="21084"/>
    <cellStyle name="Вывод 2 3 2 2 3 6" xfId="23453"/>
    <cellStyle name="Вывод 2 3 2 2 3 7" xfId="22209"/>
    <cellStyle name="Вывод 2 3 2 2 4" xfId="5598"/>
    <cellStyle name="Вывод 2 3 2 2 4 2" xfId="19619"/>
    <cellStyle name="Вывод 2 3 2 2 4 3" xfId="22521"/>
    <cellStyle name="Вывод 2 3 2 2 4 4" xfId="23009"/>
    <cellStyle name="Вывод 2 3 2 2 4 5" xfId="19402"/>
    <cellStyle name="Вывод 2 3 2 2 4 6" xfId="20041"/>
    <cellStyle name="Вывод 2 3 2 2 4 7" xfId="21299"/>
    <cellStyle name="Вывод 2 3 2 2 5" xfId="5933"/>
    <cellStyle name="Вывод 2 3 2 2 5 2" xfId="21059"/>
    <cellStyle name="Вывод 2 3 2 2 5 3" xfId="22856"/>
    <cellStyle name="Вывод 2 3 2 2 5 4" xfId="22213"/>
    <cellStyle name="Вывод 2 3 2 2 5 5" xfId="23226"/>
    <cellStyle name="Вывод 2 3 2 2 5 6" xfId="20634"/>
    <cellStyle name="Вывод 2 3 2 2 5 7" xfId="21560"/>
    <cellStyle name="Вывод 2 3 2 2 6" xfId="6268"/>
    <cellStyle name="Вывод 2 3 2 2 6 2" xfId="24070"/>
    <cellStyle name="Вывод 2 3 2 2 6 3" xfId="21810"/>
    <cellStyle name="Вывод 2 3 2 2 7" xfId="19113"/>
    <cellStyle name="Вывод 2 3 2 2 7 2" xfId="22186"/>
    <cellStyle name="Вывод 2 3 2 2 8" xfId="22172"/>
    <cellStyle name="Вывод 2 3 2 2 9" xfId="19389"/>
    <cellStyle name="Вывод 2 3 2 3" xfId="5418"/>
    <cellStyle name="Вывод 2 3 2 3 2" xfId="22151"/>
    <cellStyle name="Вывод 2 3 2 3 3" xfId="22341"/>
    <cellStyle name="Вывод 2 3 2 3 4" xfId="22999"/>
    <cellStyle name="Вывод 2 3 2 3 5" xfId="20382"/>
    <cellStyle name="Вывод 2 3 2 3 6" xfId="23725"/>
    <cellStyle name="Вывод 2 3 2 3 7" xfId="21224"/>
    <cellStyle name="Вывод 2 3 2 4" xfId="5753"/>
    <cellStyle name="Вывод 2 3 2 4 2" xfId="19730"/>
    <cellStyle name="Вывод 2 3 2 4 3" xfId="22676"/>
    <cellStyle name="Вывод 2 3 2 4 4" xfId="20166"/>
    <cellStyle name="Вывод 2 3 2 4 5" xfId="21979"/>
    <cellStyle name="Вывод 2 3 2 4 6" xfId="19563"/>
    <cellStyle name="Вывод 2 3 2 4 7" xfId="21380"/>
    <cellStyle name="Вывод 2 3 2 5" xfId="6088"/>
    <cellStyle name="Вывод 2 3 2 5 2" xfId="23890"/>
    <cellStyle name="Вывод 2 3 2 5 3" xfId="20227"/>
    <cellStyle name="Вывод 2 3 2 6" xfId="18933"/>
    <cellStyle name="Вывод 2 3 2 6 2" xfId="21800"/>
    <cellStyle name="Вывод 2 3 2 7" xfId="20978"/>
    <cellStyle name="Вывод 2 3 2 8" xfId="20338"/>
    <cellStyle name="Вывод 2 3 2 9" xfId="21728"/>
    <cellStyle name="Вывод 2 3 3" xfId="3242"/>
    <cellStyle name="Вывод 2 3 3 10" xfId="21962"/>
    <cellStyle name="Вывод 2 3 3 2" xfId="5655"/>
    <cellStyle name="Вывод 2 3 3 2 2" xfId="5990"/>
    <cellStyle name="Вывод 2 3 3 2 2 2" xfId="20013"/>
    <cellStyle name="Вывод 2 3 3 2 2 3" xfId="22913"/>
    <cellStyle name="Вывод 2 3 3 2 2 4" xfId="21736"/>
    <cellStyle name="Вывод 2 3 3 2 2 5" xfId="20663"/>
    <cellStyle name="Вывод 2 3 3 2 2 6" xfId="22262"/>
    <cellStyle name="Вывод 2 3 3 2 2 7" xfId="21617"/>
    <cellStyle name="Вывод 2 3 3 2 3" xfId="6325"/>
    <cellStyle name="Вывод 2 3 3 2 3 2" xfId="24127"/>
    <cellStyle name="Вывод 2 3 3 2 3 3" xfId="22170"/>
    <cellStyle name="Вывод 2 3 3 2 4" xfId="19170"/>
    <cellStyle name="Вывод 2 3 3 2 4 2" xfId="22578"/>
    <cellStyle name="Вывод 2 3 3 2 5" xfId="22229"/>
    <cellStyle name="Вывод 2 3 3 2 6" xfId="21738"/>
    <cellStyle name="Вывод 2 3 3 2 7" xfId="23759"/>
    <cellStyle name="Вывод 2 3 3 3" xfId="5505"/>
    <cellStyle name="Вывод 2 3 3 3 2" xfId="5840"/>
    <cellStyle name="Вывод 2 3 3 3 2 2" xfId="19348"/>
    <cellStyle name="Вывод 2 3 3 3 2 3" xfId="22763"/>
    <cellStyle name="Вывод 2 3 3 3 2 4" xfId="19787"/>
    <cellStyle name="Вывод 2 3 3 3 2 5" xfId="19534"/>
    <cellStyle name="Вывод 2 3 3 3 2 6" xfId="23000"/>
    <cellStyle name="Вывод 2 3 3 3 2 7" xfId="21467"/>
    <cellStyle name="Вывод 2 3 3 3 3" xfId="6175"/>
    <cellStyle name="Вывод 2 3 3 3 3 2" xfId="23977"/>
    <cellStyle name="Вывод 2 3 3 3 3 3" xfId="20179"/>
    <cellStyle name="Вывод 2 3 3 3 4" xfId="19020"/>
    <cellStyle name="Вывод 2 3 3 3 4 2" xfId="22428"/>
    <cellStyle name="Вывод 2 3 3 3 5" xfId="22997"/>
    <cellStyle name="Вывод 2 3 3 3 6" xfId="20383"/>
    <cellStyle name="Вывод 2 3 3 3 7" xfId="23291"/>
    <cellStyle name="Вывод 2 3 3 4" xfId="5559"/>
    <cellStyle name="Вывод 2 3 3 4 2" xfId="19922"/>
    <cellStyle name="Вывод 2 3 3 4 3" xfId="22482"/>
    <cellStyle name="Вывод 2 3 3 4 4" xfId="23042"/>
    <cellStyle name="Вывод 2 3 3 4 5" xfId="23327"/>
    <cellStyle name="Вывод 2 3 3 4 6" xfId="22271"/>
    <cellStyle name="Вывод 2 3 3 4 7" xfId="21260"/>
    <cellStyle name="Вывод 2 3 3 5" xfId="5894"/>
    <cellStyle name="Вывод 2 3 3 5 2" xfId="20201"/>
    <cellStyle name="Вывод 2 3 3 5 3" xfId="22817"/>
    <cellStyle name="Вывод 2 3 3 5 4" xfId="19525"/>
    <cellStyle name="Вывод 2 3 3 5 5" xfId="19546"/>
    <cellStyle name="Вывод 2 3 3 5 6" xfId="23441"/>
    <cellStyle name="Вывод 2 3 3 5 7" xfId="21521"/>
    <cellStyle name="Вывод 2 3 3 6" xfId="6229"/>
    <cellStyle name="Вывод 2 3 3 6 2" xfId="24031"/>
    <cellStyle name="Вывод 2 3 3 6 3" xfId="19997"/>
    <cellStyle name="Вывод 2 3 3 7" xfId="19074"/>
    <cellStyle name="Вывод 2 3 3 7 2" xfId="19910"/>
    <cellStyle name="Вывод 2 3 3 8" xfId="19625"/>
    <cellStyle name="Вывод 2 3 3 9" xfId="20049"/>
    <cellStyle name="Вывод 2 3 4" xfId="5381"/>
    <cellStyle name="Вывод 2 3 4 2" xfId="21999"/>
    <cellStyle name="Вывод 2 3 4 3" xfId="22304"/>
    <cellStyle name="Вывод 2 3 4 4" xfId="23342"/>
    <cellStyle name="Вывод 2 3 4 5" xfId="21150"/>
    <cellStyle name="Вывод 2 3 4 6" xfId="23727"/>
    <cellStyle name="Вывод 2 3 4 7" xfId="21187"/>
    <cellStyle name="Вывод 2 3 5" xfId="5716"/>
    <cellStyle name="Вывод 2 3 5 2" xfId="19437"/>
    <cellStyle name="Вывод 2 3 5 3" xfId="22639"/>
    <cellStyle name="Вывод 2 3 5 4" xfId="20406"/>
    <cellStyle name="Вывод 2 3 5 5" xfId="19734"/>
    <cellStyle name="Вывод 2 3 5 6" xfId="20587"/>
    <cellStyle name="Вывод 2 3 5 7" xfId="21343"/>
    <cellStyle name="Вывод 2 3 6" xfId="6051"/>
    <cellStyle name="Вывод 2 3 6 2" xfId="23853"/>
    <cellStyle name="Вывод 2 3 6 3" xfId="21866"/>
    <cellStyle name="Вывод 2 3 7" xfId="18896"/>
    <cellStyle name="Вывод 2 3 7 2" xfId="20601"/>
    <cellStyle name="Вывод 2 3 8" xfId="20937"/>
    <cellStyle name="Вывод 2 3 9" xfId="23051"/>
    <cellStyle name="Вывод 2 4" xfId="1189"/>
    <cellStyle name="Вывод 2 4 2" xfId="3265"/>
    <cellStyle name="Вывод 2 4 2 10" xfId="19636"/>
    <cellStyle name="Вывод 2 4 2 2" xfId="5460"/>
    <cellStyle name="Вывод 2 4 2 2 2" xfId="5795"/>
    <cellStyle name="Вывод 2 4 2 2 2 2" xfId="19624"/>
    <cellStyle name="Вывод 2 4 2 2 2 3" xfId="22718"/>
    <cellStyle name="Вывод 2 4 2 2 2 4" xfId="19951"/>
    <cellStyle name="Вывод 2 4 2 2 2 5" xfId="20311"/>
    <cellStyle name="Вывод 2 4 2 2 2 6" xfId="23538"/>
    <cellStyle name="Вывод 2 4 2 2 2 7" xfId="21422"/>
    <cellStyle name="Вывод 2 4 2 2 3" xfId="6130"/>
    <cellStyle name="Вывод 2 4 2 2 3 2" xfId="23932"/>
    <cellStyle name="Вывод 2 4 2 2 3 3" xfId="19456"/>
    <cellStyle name="Вывод 2 4 2 2 4" xfId="18975"/>
    <cellStyle name="Вывод 2 4 2 2 4 2" xfId="22383"/>
    <cellStyle name="Вывод 2 4 2 2 5" xfId="23069"/>
    <cellStyle name="Вывод 2 4 2 2 6" xfId="21985"/>
    <cellStyle name="Вывод 2 4 2 2 7" xfId="19886"/>
    <cellStyle name="Вывод 2 4 2 3" xfId="5530"/>
    <cellStyle name="Вывод 2 4 2 3 2" xfId="5865"/>
    <cellStyle name="Вывод 2 4 2 3 2 2" xfId="19846"/>
    <cellStyle name="Вывод 2 4 2 3 2 3" xfId="22788"/>
    <cellStyle name="Вывод 2 4 2 3 2 4" xfId="19580"/>
    <cellStyle name="Вывод 2 4 2 3 2 5" xfId="19823"/>
    <cellStyle name="Вывод 2 4 2 3 2 6" xfId="23459"/>
    <cellStyle name="Вывод 2 4 2 3 2 7" xfId="21492"/>
    <cellStyle name="Вывод 2 4 2 3 3" xfId="6200"/>
    <cellStyle name="Вывод 2 4 2 3 3 2" xfId="24002"/>
    <cellStyle name="Вывод 2 4 2 3 3 3" xfId="22150"/>
    <cellStyle name="Вывод 2 4 2 3 4" xfId="19045"/>
    <cellStyle name="Вывод 2 4 2 3 4 2" xfId="22453"/>
    <cellStyle name="Вывод 2 4 2 3 5" xfId="20884"/>
    <cellStyle name="Вывод 2 4 2 3 6" xfId="20922"/>
    <cellStyle name="Вывод 2 4 2 3 7" xfId="21154"/>
    <cellStyle name="Вывод 2 4 2 4" xfId="5582"/>
    <cellStyle name="Вывод 2 4 2 4 2" xfId="20911"/>
    <cellStyle name="Вывод 2 4 2 4 3" xfId="22505"/>
    <cellStyle name="Вывод 2 4 2 4 4" xfId="23379"/>
    <cellStyle name="Вывод 2 4 2 4 5" xfId="19364"/>
    <cellStyle name="Вывод 2 4 2 4 6" xfId="23670"/>
    <cellStyle name="Вывод 2 4 2 4 7" xfId="21283"/>
    <cellStyle name="Вывод 2 4 2 5" xfId="5917"/>
    <cellStyle name="Вывод 2 4 2 5 2" xfId="20323"/>
    <cellStyle name="Вывод 2 4 2 5 3" xfId="22840"/>
    <cellStyle name="Вывод 2 4 2 5 4" xfId="22086"/>
    <cellStyle name="Вывод 2 4 2 5 5" xfId="22037"/>
    <cellStyle name="Вывод 2 4 2 5 6" xfId="23554"/>
    <cellStyle name="Вывод 2 4 2 5 7" xfId="21544"/>
    <cellStyle name="Вывод 2 4 2 6" xfId="6252"/>
    <cellStyle name="Вывод 2 4 2 6 2" xfId="24054"/>
    <cellStyle name="Вывод 2 4 2 6 3" xfId="20735"/>
    <cellStyle name="Вывод 2 4 2 7" xfId="10526"/>
    <cellStyle name="Вывод 2 4 2 7 2" xfId="24164"/>
    <cellStyle name="Вывод 2 4 2 7 3" xfId="21104"/>
    <cellStyle name="Вывод 2 4 2 8" xfId="19097"/>
    <cellStyle name="Вывод 2 4 2 8 2" xfId="21784"/>
    <cellStyle name="Вывод 2 4 2 9" xfId="22975"/>
    <cellStyle name="Вывод 2 4 3" xfId="5402"/>
    <cellStyle name="Вывод 2 4 3 2" xfId="22078"/>
    <cellStyle name="Вывод 2 4 3 3" xfId="22325"/>
    <cellStyle name="Вывод 2 4 3 4" xfId="23370"/>
    <cellStyle name="Вывод 2 4 3 5" xfId="23570"/>
    <cellStyle name="Вывод 2 4 3 6" xfId="23721"/>
    <cellStyle name="Вывод 2 4 3 7" xfId="21208"/>
    <cellStyle name="Вывод 2 4 4" xfId="5737"/>
    <cellStyle name="Вывод 2 4 4 2" xfId="19780"/>
    <cellStyle name="Вывод 2 4 4 3" xfId="22660"/>
    <cellStyle name="Вывод 2 4 4 4" xfId="19872"/>
    <cellStyle name="Вывод 2 4 4 5" xfId="20459"/>
    <cellStyle name="Вывод 2 4 4 6" xfId="23430"/>
    <cellStyle name="Вывод 2 4 4 7" xfId="21364"/>
    <cellStyle name="Вывод 2 4 5" xfId="6072"/>
    <cellStyle name="Вывод 2 4 5 2" xfId="23874"/>
    <cellStyle name="Вывод 2 4 5 3" xfId="21786"/>
    <cellStyle name="Вывод 2 4 6" xfId="18917"/>
    <cellStyle name="Вывод 2 4 6 2" xfId="19635"/>
    <cellStyle name="Вывод 2 4 7" xfId="21147"/>
    <cellStyle name="Вывод 2 4 8" xfId="22169"/>
    <cellStyle name="Вывод 2 4 9" xfId="21763"/>
    <cellStyle name="Вывод 2 5" xfId="3220"/>
    <cellStyle name="Вывод 2 5 10" xfId="22027"/>
    <cellStyle name="Вывод 2 5 2" xfId="5670"/>
    <cellStyle name="Вывод 2 5 2 2" xfId="6005"/>
    <cellStyle name="Вывод 2 5 2 2 2" xfId="20290"/>
    <cellStyle name="Вывод 2 5 2 2 3" xfId="22928"/>
    <cellStyle name="Вывод 2 5 2 2 4" xfId="23400"/>
    <cellStyle name="Вывод 2 5 2 2 5" xfId="20798"/>
    <cellStyle name="Вывод 2 5 2 2 6" xfId="23475"/>
    <cellStyle name="Вывод 2 5 2 2 7" xfId="21632"/>
    <cellStyle name="Вывод 2 5 2 3" xfId="6340"/>
    <cellStyle name="Вывод 2 5 2 3 2" xfId="24142"/>
    <cellStyle name="Вывод 2 5 2 3 3" xfId="21055"/>
    <cellStyle name="Вывод 2 5 2 4" xfId="19185"/>
    <cellStyle name="Вывод 2 5 2 4 2" xfId="22593"/>
    <cellStyle name="Вывод 2 5 2 5" xfId="23043"/>
    <cellStyle name="Вывод 2 5 2 6" xfId="22245"/>
    <cellStyle name="Вывод 2 5 2 7" xfId="23504"/>
    <cellStyle name="Вывод 2 5 3" xfId="5661"/>
    <cellStyle name="Вывод 2 5 3 2" xfId="5996"/>
    <cellStyle name="Вывод 2 5 3 2 2" xfId="19632"/>
    <cellStyle name="Вывод 2 5 3 2 3" xfId="22919"/>
    <cellStyle name="Вывод 2 5 3 2 4" xfId="23391"/>
    <cellStyle name="Вывод 2 5 3 2 5" xfId="19365"/>
    <cellStyle name="Вывод 2 5 3 2 6" xfId="19901"/>
    <cellStyle name="Вывод 2 5 3 2 7" xfId="21623"/>
    <cellStyle name="Вывод 2 5 3 3" xfId="6331"/>
    <cellStyle name="Вывод 2 5 3 3 2" xfId="24133"/>
    <cellStyle name="Вывод 2 5 3 3 3" xfId="21895"/>
    <cellStyle name="Вывод 2 5 3 4" xfId="19176"/>
    <cellStyle name="Вывод 2 5 3 4 2" xfId="22584"/>
    <cellStyle name="Вывод 2 5 3 5" xfId="23148"/>
    <cellStyle name="Вывод 2 5 3 6" xfId="20279"/>
    <cellStyle name="Вывод 2 5 3 7" xfId="23784"/>
    <cellStyle name="Вывод 2 5 4" xfId="5444"/>
    <cellStyle name="Вывод 2 5 4 2" xfId="20906"/>
    <cellStyle name="Вывод 2 5 4 3" xfId="22367"/>
    <cellStyle name="Вывод 2 5 4 4" xfId="23083"/>
    <cellStyle name="Вывод 2 5 4 5" xfId="19508"/>
    <cellStyle name="Вывод 2 5 4 6" xfId="23673"/>
    <cellStyle name="Вывод 2 5 4 7" xfId="21250"/>
    <cellStyle name="Вывод 2 5 5" xfId="5779"/>
    <cellStyle name="Вывод 2 5 5 2" xfId="19825"/>
    <cellStyle name="Вывод 2 5 5 3" xfId="22702"/>
    <cellStyle name="Вывод 2 5 5 4" xfId="19530"/>
    <cellStyle name="Вывод 2 5 5 5" xfId="21751"/>
    <cellStyle name="Вывод 2 5 5 6" xfId="20739"/>
    <cellStyle name="Вывод 2 5 5 7" xfId="21406"/>
    <cellStyle name="Вывод 2 5 6" xfId="6114"/>
    <cellStyle name="Вывод 2 5 6 2" xfId="23916"/>
    <cellStyle name="Вывод 2 5 6 3" xfId="21112"/>
    <cellStyle name="Вывод 2 5 7" xfId="18959"/>
    <cellStyle name="Вывод 2 5 7 2" xfId="22181"/>
    <cellStyle name="Вывод 2 5 8" xfId="21653"/>
    <cellStyle name="Вывод 2 5 9" xfId="22257"/>
    <cellStyle name="Вывод 2 6" xfId="3240"/>
    <cellStyle name="Вывод 2 6 10" xfId="20523"/>
    <cellStyle name="Вывод 2 6 2" xfId="5513"/>
    <cellStyle name="Вывод 2 6 2 2" xfId="5848"/>
    <cellStyle name="Вывод 2 6 2 2 2" xfId="21078"/>
    <cellStyle name="Вывод 2 6 2 2 3" xfId="22771"/>
    <cellStyle name="Вывод 2 6 2 2 4" xfId="20280"/>
    <cellStyle name="Вывод 2 6 2 2 5" xfId="19744"/>
    <cellStyle name="Вывод 2 6 2 2 6" xfId="19343"/>
    <cellStyle name="Вывод 2 6 2 2 7" xfId="21475"/>
    <cellStyle name="Вывод 2 6 2 3" xfId="6183"/>
    <cellStyle name="Вывод 2 6 2 3 2" xfId="23985"/>
    <cellStyle name="Вывод 2 6 2 3 3" xfId="21160"/>
    <cellStyle name="Вывод 2 6 2 4" xfId="19028"/>
    <cellStyle name="Вывод 2 6 2 4 2" xfId="22436"/>
    <cellStyle name="Вывод 2 6 2 5" xfId="23332"/>
    <cellStyle name="Вывод 2 6 2 6" xfId="19994"/>
    <cellStyle name="Вывод 2 6 2 7" xfId="21003"/>
    <cellStyle name="Вывод 2 6 3" xfId="5624"/>
    <cellStyle name="Вывод 2 6 3 2" xfId="5959"/>
    <cellStyle name="Вывод 2 6 3 2 2" xfId="20693"/>
    <cellStyle name="Вывод 2 6 3 2 3" xfId="22882"/>
    <cellStyle name="Вывод 2 6 3 2 4" xfId="21127"/>
    <cellStyle name="Вывод 2 6 3 2 5" xfId="19828"/>
    <cellStyle name="Вывод 2 6 3 2 6" xfId="23571"/>
    <cellStyle name="Вывод 2 6 3 2 7" xfId="21586"/>
    <cellStyle name="Вывод 2 6 3 3" xfId="6294"/>
    <cellStyle name="Вывод 2 6 3 3 2" xfId="24096"/>
    <cellStyle name="Вывод 2 6 3 3 3" xfId="22066"/>
    <cellStyle name="Вывод 2 6 3 4" xfId="19139"/>
    <cellStyle name="Вывод 2 6 3 4 2" xfId="22547"/>
    <cellStyle name="Вывод 2 6 3 5" xfId="22227"/>
    <cellStyle name="Вывод 2 6 3 6" xfId="20521"/>
    <cellStyle name="Вывод 2 6 3 7" xfId="23690"/>
    <cellStyle name="Вывод 2 6 4" xfId="5557"/>
    <cellStyle name="Вывод 2 6 4 2" xfId="19594"/>
    <cellStyle name="Вывод 2 6 4 3" xfId="22480"/>
    <cellStyle name="Вывод 2 6 4 4" xfId="23143"/>
    <cellStyle name="Вывод 2 6 4 5" xfId="22955"/>
    <cellStyle name="Вывод 2 6 4 6" xfId="19505"/>
    <cellStyle name="Вывод 2 6 4 7" xfId="21258"/>
    <cellStyle name="Вывод 2 6 5" xfId="5892"/>
    <cellStyle name="Вывод 2 6 5 2" xfId="19693"/>
    <cellStyle name="Вывод 2 6 5 3" xfId="22815"/>
    <cellStyle name="Вывод 2 6 5 4" xfId="19219"/>
    <cellStyle name="Вывод 2 6 5 5" xfId="22177"/>
    <cellStyle name="Вывод 2 6 5 6" xfId="21760"/>
    <cellStyle name="Вывод 2 6 5 7" xfId="21519"/>
    <cellStyle name="Вывод 2 6 6" xfId="6227"/>
    <cellStyle name="Вывод 2 6 6 2" xfId="24029"/>
    <cellStyle name="Вывод 2 6 6 3" xfId="20207"/>
    <cellStyle name="Вывод 2 6 7" xfId="19072"/>
    <cellStyle name="Вывод 2 6 7 2" xfId="22000"/>
    <cellStyle name="Вывод 2 6 8" xfId="22959"/>
    <cellStyle name="Вывод 2 6 9" xfId="19941"/>
    <cellStyle name="Вывод 2 7" xfId="5359"/>
    <cellStyle name="Вывод 2 7 2" xfId="20473"/>
    <cellStyle name="Вывод 2 7 3" xfId="22282"/>
    <cellStyle name="Вывод 2 7 4" xfId="23123"/>
    <cellStyle name="Вывод 2 7 5" xfId="23591"/>
    <cellStyle name="Вывод 2 7 6" xfId="20314"/>
    <cellStyle name="Вывод 2 7 7" xfId="21165"/>
    <cellStyle name="Вывод 2 8" xfId="5694"/>
    <cellStyle name="Вывод 2 8 2" xfId="20583"/>
    <cellStyle name="Вывод 2 8 3" xfId="22617"/>
    <cellStyle name="Вывод 2 8 4" xfId="23339"/>
    <cellStyle name="Вывод 2 8 5" xfId="20623"/>
    <cellStyle name="Вывод 2 8 6" xfId="20909"/>
    <cellStyle name="Вывод 2 8 7" xfId="21321"/>
    <cellStyle name="Вывод 2 9" xfId="6029"/>
    <cellStyle name="Вывод 2 9 2" xfId="23831"/>
    <cellStyle name="Вывод 2 9 3" xfId="20029"/>
    <cellStyle name="Вывод 3" xfId="124"/>
    <cellStyle name="Вывод 3 10" xfId="20722"/>
    <cellStyle name="Вывод 3 11" xfId="19502"/>
    <cellStyle name="Вывод 3 12" xfId="21882"/>
    <cellStyle name="Вывод 3 2" xfId="647"/>
    <cellStyle name="Вывод 3 2 10" xfId="20165"/>
    <cellStyle name="Вывод 3 2 11" xfId="22156"/>
    <cellStyle name="Вывод 3 2 12" xfId="19583"/>
    <cellStyle name="Вывод 3 2 2" xfId="1782"/>
    <cellStyle name="Вывод 3 2 2 2" xfId="3294"/>
    <cellStyle name="Вывод 3 2 2 2 10" xfId="23433"/>
    <cellStyle name="Вывод 3 2 2 2 2" xfId="5660"/>
    <cellStyle name="Вывод 3 2 2 2 2 2" xfId="5995"/>
    <cellStyle name="Вывод 3 2 2 2 2 2 2" xfId="21712"/>
    <cellStyle name="Вывод 3 2 2 2 2 2 3" xfId="22918"/>
    <cellStyle name="Вывод 3 2 2 2 2 2 4" xfId="23390"/>
    <cellStyle name="Вывод 3 2 2 2 2 2 5" xfId="23530"/>
    <cellStyle name="Вывод 3 2 2 2 2 2 6" xfId="23462"/>
    <cellStyle name="Вывод 3 2 2 2 2 2 7" xfId="21622"/>
    <cellStyle name="Вывод 3 2 2 2 2 3" xfId="6330"/>
    <cellStyle name="Вывод 3 2 2 2 2 3 2" xfId="24132"/>
    <cellStyle name="Вывод 3 2 2 2 2 3 3" xfId="19927"/>
    <cellStyle name="Вывод 3 2 2 2 2 4" xfId="19175"/>
    <cellStyle name="Вывод 3 2 2 2 2 4 2" xfId="22583"/>
    <cellStyle name="Вывод 3 2 2 2 2 5" xfId="23345"/>
    <cellStyle name="Вывод 3 2 2 2 2 6" xfId="19568"/>
    <cellStyle name="Вывод 3 2 2 2 2 7" xfId="20791"/>
    <cellStyle name="Вывод 3 2 2 2 3" xfId="5638"/>
    <cellStyle name="Вывод 3 2 2 2 3 2" xfId="5973"/>
    <cellStyle name="Вывод 3 2 2 2 3 2 2" xfId="20392"/>
    <cellStyle name="Вывод 3 2 2 2 3 2 3" xfId="22896"/>
    <cellStyle name="Вывод 3 2 2 2 3 2 4" xfId="20996"/>
    <cellStyle name="Вывод 3 2 2 2 3 2 5" xfId="22243"/>
    <cellStyle name="Вывод 3 2 2 2 3 2 6" xfId="22967"/>
    <cellStyle name="Вывод 3 2 2 2 3 2 7" xfId="21600"/>
    <cellStyle name="Вывод 3 2 2 2 3 3" xfId="6308"/>
    <cellStyle name="Вывод 3 2 2 2 3 3 2" xfId="24110"/>
    <cellStyle name="Вывод 3 2 2 2 3 3 3" xfId="21883"/>
    <cellStyle name="Вывод 3 2 2 2 3 4" xfId="19153"/>
    <cellStyle name="Вывод 3 2 2 2 3 4 2" xfId="22561"/>
    <cellStyle name="Вывод 3 2 2 2 3 5" xfId="23331"/>
    <cellStyle name="Вывод 3 2 2 2 3 6" xfId="23434"/>
    <cellStyle name="Вывод 3 2 2 2 3 7" xfId="23785"/>
    <cellStyle name="Вывод 3 2 2 2 4" xfId="5611"/>
    <cellStyle name="Вывод 3 2 2 2 4 2" xfId="19717"/>
    <cellStyle name="Вывод 3 2 2 2 4 3" xfId="22534"/>
    <cellStyle name="Вывод 3 2 2 2 4 4" xfId="23357"/>
    <cellStyle name="Вывод 3 2 2 2 4 5" xfId="19637"/>
    <cellStyle name="Вывод 3 2 2 2 4 6" xfId="20357"/>
    <cellStyle name="Вывод 3 2 2 2 4 7" xfId="21312"/>
    <cellStyle name="Вывод 3 2 2 2 5" xfId="5946"/>
    <cellStyle name="Вывод 3 2 2 2 5 2" xfId="20222"/>
    <cellStyle name="Вывод 3 2 2 2 5 3" xfId="22869"/>
    <cellStyle name="Вывод 3 2 2 2 5 4" xfId="22068"/>
    <cellStyle name="Вывод 3 2 2 2 5 5" xfId="20976"/>
    <cellStyle name="Вывод 3 2 2 2 5 6" xfId="21941"/>
    <cellStyle name="Вывод 3 2 2 2 5 7" xfId="21573"/>
    <cellStyle name="Вывод 3 2 2 2 6" xfId="6281"/>
    <cellStyle name="Вывод 3 2 2 2 6 2" xfId="24083"/>
    <cellStyle name="Вывод 3 2 2 2 6 3" xfId="21801"/>
    <cellStyle name="Вывод 3 2 2 2 7" xfId="19126"/>
    <cellStyle name="Вывод 3 2 2 2 7 2" xfId="19255"/>
    <cellStyle name="Вывод 3 2 2 2 8" xfId="21132"/>
    <cellStyle name="Вывод 3 2 2 2 9" xfId="20927"/>
    <cellStyle name="Вывод 3 2 2 3" xfId="5431"/>
    <cellStyle name="Вывод 3 2 2 3 2" xfId="19320"/>
    <cellStyle name="Вывод 3 2 2 3 3" xfId="22354"/>
    <cellStyle name="Вывод 3 2 2 3 4" xfId="23172"/>
    <cellStyle name="Вывод 3 2 2 3 5" xfId="20109"/>
    <cellStyle name="Вывод 3 2 2 3 6" xfId="19475"/>
    <cellStyle name="Вывод 3 2 2 3 7" xfId="21237"/>
    <cellStyle name="Вывод 3 2 2 4" xfId="5766"/>
    <cellStyle name="Вывод 3 2 2 4 2" xfId="20282"/>
    <cellStyle name="Вывод 3 2 2 4 3" xfId="22689"/>
    <cellStyle name="Вывод 3 2 2 4 4" xfId="20228"/>
    <cellStyle name="Вывод 3 2 2 4 5" xfId="23613"/>
    <cellStyle name="Вывод 3 2 2 4 6" xfId="23597"/>
    <cellStyle name="Вывод 3 2 2 4 7" xfId="21393"/>
    <cellStyle name="Вывод 3 2 2 5" xfId="6101"/>
    <cellStyle name="Вывод 3 2 2 5 2" xfId="23903"/>
    <cellStyle name="Вывод 3 2 2 5 3" xfId="19968"/>
    <cellStyle name="Вывод 3 2 2 6" xfId="18946"/>
    <cellStyle name="Вывод 3 2 2 6 2" xfId="22111"/>
    <cellStyle name="Вывод 3 2 2 7" xfId="19519"/>
    <cellStyle name="Вывод 3 2 2 8" xfId="22030"/>
    <cellStyle name="Вывод 3 2 2 9" xfId="21043"/>
    <cellStyle name="Вывод 3 2 3" xfId="3209"/>
    <cellStyle name="Вывод 3 2 3 10" xfId="20674"/>
    <cellStyle name="Вывод 3 2 3 2" xfId="5652"/>
    <cellStyle name="Вывод 3 2 3 2 2" xfId="5987"/>
    <cellStyle name="Вывод 3 2 3 2 2 2" xfId="20420"/>
    <cellStyle name="Вывод 3 2 3 2 2 3" xfId="22910"/>
    <cellStyle name="Вывод 3 2 3 2 2 4" xfId="20942"/>
    <cellStyle name="Вывод 3 2 3 2 2 5" xfId="20048"/>
    <cellStyle name="Вывод 3 2 3 2 2 6" xfId="22217"/>
    <cellStyle name="Вывод 3 2 3 2 2 7" xfId="21614"/>
    <cellStyle name="Вывод 3 2 3 2 3" xfId="6322"/>
    <cellStyle name="Вывод 3 2 3 2 3 2" xfId="24124"/>
    <cellStyle name="Вывод 3 2 3 2 3 3" xfId="20161"/>
    <cellStyle name="Вывод 3 2 3 2 4" xfId="19167"/>
    <cellStyle name="Вывод 3 2 3 2 4 2" xfId="22575"/>
    <cellStyle name="Вывод 3 2 3 2 5" xfId="23058"/>
    <cellStyle name="Вывод 3 2 3 2 6" xfId="19943"/>
    <cellStyle name="Вывод 3 2 3 2 7" xfId="19371"/>
    <cellStyle name="Вывод 3 2 3 3" xfId="5688"/>
    <cellStyle name="Вывод 3 2 3 3 2" xfId="6023"/>
    <cellStyle name="Вывод 3 2 3 3 2 2" xfId="21050"/>
    <cellStyle name="Вывод 3 2 3 3 2 3" xfId="22946"/>
    <cellStyle name="Вывод 3 2 3 3 2 4" xfId="23418"/>
    <cellStyle name="Вывод 3 2 3 3 2 5" xfId="23644"/>
    <cellStyle name="Вывод 3 2 3 3 2 6" xfId="20892"/>
    <cellStyle name="Вывод 3 2 3 3 2 7" xfId="21650"/>
    <cellStyle name="Вывод 3 2 3 3 3" xfId="6358"/>
    <cellStyle name="Вывод 3 2 3 3 3 2" xfId="24160"/>
    <cellStyle name="Вывод 3 2 3 3 3 3" xfId="21935"/>
    <cellStyle name="Вывод 3 2 3 3 4" xfId="19203"/>
    <cellStyle name="Вывод 3 2 3 3 4 2" xfId="22611"/>
    <cellStyle name="Вывод 3 2 3 3 5" xfId="23075"/>
    <cellStyle name="Вывод 3 2 3 3 6" xfId="19842"/>
    <cellStyle name="Вывод 3 2 3 3 7" xfId="23822"/>
    <cellStyle name="Вывод 3 2 3 4" xfId="5393"/>
    <cellStyle name="Вывод 3 2 3 4 2" xfId="20579"/>
    <cellStyle name="Вывод 3 2 3 4 3" xfId="22316"/>
    <cellStyle name="Вывод 3 2 3 4 4" xfId="23308"/>
    <cellStyle name="Вывод 3 2 3 4 5" xfId="23429"/>
    <cellStyle name="Вывод 3 2 3 4 6" xfId="20200"/>
    <cellStyle name="Вывод 3 2 3 4 7" xfId="21199"/>
    <cellStyle name="Вывод 3 2 3 5" xfId="5728"/>
    <cellStyle name="Вывод 3 2 3 5 2" xfId="20403"/>
    <cellStyle name="Вывод 3 2 3 5 3" xfId="22651"/>
    <cellStyle name="Вывод 3 2 3 5 4" xfId="20197"/>
    <cellStyle name="Вывод 3 2 3 5 5" xfId="23608"/>
    <cellStyle name="Вывод 3 2 3 5 6" xfId="20910"/>
    <cellStyle name="Вывод 3 2 3 5 7" xfId="21355"/>
    <cellStyle name="Вывод 3 2 3 6" xfId="6063"/>
    <cellStyle name="Вывод 3 2 3 6 2" xfId="23865"/>
    <cellStyle name="Вывод 3 2 3 6 3" xfId="19942"/>
    <cellStyle name="Вывод 3 2 3 7" xfId="18908"/>
    <cellStyle name="Вывод 3 2 3 7 2" xfId="20608"/>
    <cellStyle name="Вывод 3 2 3 8" xfId="21091"/>
    <cellStyle name="Вывод 3 2 3 9" xfId="22982"/>
    <cellStyle name="Вывод 3 2 4" xfId="2850"/>
    <cellStyle name="Вывод 3 2 4 10" xfId="20257"/>
    <cellStyle name="Вывод 3 2 4 2" xfId="5620"/>
    <cellStyle name="Вывод 3 2 4 2 2" xfId="5955"/>
    <cellStyle name="Вывод 3 2 4 2 2 2" xfId="20680"/>
    <cellStyle name="Вывод 3 2 4 2 2 3" xfId="22878"/>
    <cellStyle name="Вывод 3 2 4 2 2 4" xfId="19578"/>
    <cellStyle name="Вывод 3 2 4 2 2 5" xfId="20430"/>
    <cellStyle name="Вывод 3 2 4 2 2 6" xfId="19302"/>
    <cellStyle name="Вывод 3 2 4 2 2 7" xfId="21582"/>
    <cellStyle name="Вывод 3 2 4 2 3" xfId="6290"/>
    <cellStyle name="Вывод 3 2 4 2 3 2" xfId="24092"/>
    <cellStyle name="Вывод 3 2 4 2 3 3" xfId="19354"/>
    <cellStyle name="Вывод 3 2 4 2 4" xfId="19135"/>
    <cellStyle name="Вывод 3 2 4 2 4 2" xfId="22543"/>
    <cellStyle name="Вывод 3 2 4 2 5" xfId="23351"/>
    <cellStyle name="Вывод 3 2 4 2 6" xfId="23066"/>
    <cellStyle name="Вывод 3 2 4 2 7" xfId="22145"/>
    <cellStyle name="Вывод 3 2 4 3" xfId="5673"/>
    <cellStyle name="Вывод 3 2 4 3 2" xfId="6008"/>
    <cellStyle name="Вывод 3 2 4 3 2 2" xfId="20347"/>
    <cellStyle name="Вывод 3 2 4 3 2 3" xfId="22931"/>
    <cellStyle name="Вывод 3 2 4 3 2 4" xfId="23403"/>
    <cellStyle name="Вывод 3 2 4 3 2 5" xfId="20928"/>
    <cellStyle name="Вывод 3 2 4 3 2 6" xfId="21720"/>
    <cellStyle name="Вывод 3 2 4 3 2 7" xfId="21635"/>
    <cellStyle name="Вывод 3 2 4 3 3" xfId="6343"/>
    <cellStyle name="Вывод 3 2 4 3 3 2" xfId="24145"/>
    <cellStyle name="Вывод 3 2 4 3 3 3" xfId="22101"/>
    <cellStyle name="Вывод 3 2 4 3 4" xfId="19188"/>
    <cellStyle name="Вывод 3 2 4 3 4 2" xfId="22596"/>
    <cellStyle name="Вывод 3 2 4 3 5" xfId="23213"/>
    <cellStyle name="Вывод 3 2 4 3 6" xfId="23627"/>
    <cellStyle name="Вывод 3 2 4 3 7" xfId="23692"/>
    <cellStyle name="Вывод 3 2 4 4" xfId="5438"/>
    <cellStyle name="Вывод 3 2 4 4 2" xfId="19513"/>
    <cellStyle name="Вывод 3 2 4 4 3" xfId="22361"/>
    <cellStyle name="Вывод 3 2 4 4 4" xfId="22988"/>
    <cellStyle name="Вывод 3 2 4 4 5" xfId="23552"/>
    <cellStyle name="Вывод 3 2 4 4 6" xfId="19742"/>
    <cellStyle name="Вывод 3 2 4 4 7" xfId="21244"/>
    <cellStyle name="Вывод 3 2 4 5" xfId="5773"/>
    <cellStyle name="Вывод 3 2 4 5 2" xfId="20110"/>
    <cellStyle name="Вывод 3 2 4 5 3" xfId="22696"/>
    <cellStyle name="Вывод 3 2 4 5 4" xfId="23303"/>
    <cellStyle name="Вывод 3 2 4 5 5" xfId="20755"/>
    <cellStyle name="Вывод 3 2 4 5 6" xfId="19999"/>
    <cellStyle name="Вывод 3 2 4 5 7" xfId="21400"/>
    <cellStyle name="Вывод 3 2 4 6" xfId="6108"/>
    <cellStyle name="Вывод 3 2 4 6 2" xfId="23910"/>
    <cellStyle name="Вывод 3 2 4 6 3" xfId="20829"/>
    <cellStyle name="Вывод 3 2 4 7" xfId="18953"/>
    <cellStyle name="Вывод 3 2 4 7 2" xfId="19956"/>
    <cellStyle name="Вывод 3 2 4 8" xfId="20410"/>
    <cellStyle name="Вывод 3 2 4 9" xfId="20457"/>
    <cellStyle name="Вывод 3 2 5" xfId="3256"/>
    <cellStyle name="Вывод 3 2 5 10" xfId="21795"/>
    <cellStyle name="Вывод 3 2 5 2" xfId="5517"/>
    <cellStyle name="Вывод 3 2 5 2 2" xfId="5852"/>
    <cellStyle name="Вывод 3 2 5 2 2 2" xfId="19862"/>
    <cellStyle name="Вывод 3 2 5 2 2 3" xfId="22775"/>
    <cellStyle name="Вывод 3 2 5 2 2 4" xfId="20107"/>
    <cellStyle name="Вывод 3 2 5 2 2 5" xfId="19608"/>
    <cellStyle name="Вывод 3 2 5 2 2 6" xfId="22023"/>
    <cellStyle name="Вывод 3 2 5 2 2 7" xfId="21479"/>
    <cellStyle name="Вывод 3 2 5 2 3" xfId="6187"/>
    <cellStyle name="Вывод 3 2 5 2 3 2" xfId="23989"/>
    <cellStyle name="Вывод 3 2 5 2 3 3" xfId="21969"/>
    <cellStyle name="Вывод 3 2 5 2 4" xfId="19032"/>
    <cellStyle name="Вывод 3 2 5 2 4 2" xfId="22440"/>
    <cellStyle name="Вывод 3 2 5 2 5" xfId="23253"/>
    <cellStyle name="Вывод 3 2 5 2 6" xfId="20806"/>
    <cellStyle name="Вывод 3 2 5 2 7" xfId="23730"/>
    <cellStyle name="Вывод 3 2 5 3" xfId="5447"/>
    <cellStyle name="Вывод 3 2 5 3 2" xfId="5782"/>
    <cellStyle name="Вывод 3 2 5 3 2 2" xfId="20306"/>
    <cellStyle name="Вывод 3 2 5 3 2 3" xfId="22705"/>
    <cellStyle name="Вывод 3 2 5 3 2 4" xfId="23328"/>
    <cellStyle name="Вывод 3 2 5 3 2 5" xfId="22252"/>
    <cellStyle name="Вывод 3 2 5 3 2 6" xfId="19903"/>
    <cellStyle name="Вывод 3 2 5 3 2 7" xfId="21409"/>
    <cellStyle name="Вывод 3 2 5 3 3" xfId="6117"/>
    <cellStyle name="Вывод 3 2 5 3 3 2" xfId="23919"/>
    <cellStyle name="Вывод 3 2 5 3 3 3" xfId="22095"/>
    <cellStyle name="Вывод 3 2 5 3 4" xfId="18962"/>
    <cellStyle name="Вывод 3 2 5 3 4 2" xfId="22370"/>
    <cellStyle name="Вывод 3 2 5 3 5" xfId="22998"/>
    <cellStyle name="Вывод 3 2 5 3 6" xfId="20369"/>
    <cellStyle name="Вывод 3 2 5 3 7" xfId="21666"/>
    <cellStyle name="Вывод 3 2 5 4" xfId="5573"/>
    <cellStyle name="Вывод 3 2 5 4 2" xfId="20667"/>
    <cellStyle name="Вывод 3 2 5 4 3" xfId="22496"/>
    <cellStyle name="Вывод 3 2 5 4 4" xfId="23238"/>
    <cellStyle name="Вывод 3 2 5 4 5" xfId="23509"/>
    <cellStyle name="Вывод 3 2 5 4 6" xfId="21816"/>
    <cellStyle name="Вывод 3 2 5 4 7" xfId="21274"/>
    <cellStyle name="Вывод 3 2 5 5" xfId="5908"/>
    <cellStyle name="Вывод 3 2 5 5 2" xfId="21068"/>
    <cellStyle name="Вывод 3 2 5 5 3" xfId="22831"/>
    <cellStyle name="Вывод 3 2 5 5 4" xfId="20885"/>
    <cellStyle name="Вывод 3 2 5 5 5" xfId="23592"/>
    <cellStyle name="Вывод 3 2 5 5 6" xfId="21848"/>
    <cellStyle name="Вывод 3 2 5 5 7" xfId="21535"/>
    <cellStyle name="Вывод 3 2 5 6" xfId="6243"/>
    <cellStyle name="Вывод 3 2 5 6 2" xfId="24045"/>
    <cellStyle name="Вывод 3 2 5 6 3" xfId="20101"/>
    <cellStyle name="Вывод 3 2 5 7" xfId="19088"/>
    <cellStyle name="Вывод 3 2 5 7 2" xfId="20472"/>
    <cellStyle name="Вывод 3 2 5 8" xfId="20011"/>
    <cellStyle name="Вывод 3 2 5 9" xfId="20878"/>
    <cellStyle name="Вывод 3 2 6" xfId="5370"/>
    <cellStyle name="Вывод 3 2 6 2" xfId="20585"/>
    <cellStyle name="Вывод 3 2 6 3" xfId="22293"/>
    <cellStyle name="Вывод 3 2 6 4" xfId="23149"/>
    <cellStyle name="Вывод 3 2 6 5" xfId="19424"/>
    <cellStyle name="Вывод 3 2 6 6" xfId="19701"/>
    <cellStyle name="Вывод 3 2 6 7" xfId="21176"/>
    <cellStyle name="Вывод 3 2 7" xfId="5705"/>
    <cellStyle name="Вывод 3 2 7 2" xfId="19529"/>
    <cellStyle name="Вывод 3 2 7 3" xfId="22628"/>
    <cellStyle name="Вывод 3 2 7 4" xfId="22984"/>
    <cellStyle name="Вывод 3 2 7 5" xfId="22081"/>
    <cellStyle name="Вывод 3 2 7 6" xfId="23023"/>
    <cellStyle name="Вывод 3 2 7 7" xfId="21332"/>
    <cellStyle name="Вывод 3 2 8" xfId="6040"/>
    <cellStyle name="Вывод 3 2 8 2" xfId="23842"/>
    <cellStyle name="Вывод 3 2 8 3" xfId="20454"/>
    <cellStyle name="Вывод 3 2 9" xfId="18885"/>
    <cellStyle name="Вывод 3 2 9 2" xfId="19259"/>
    <cellStyle name="Вывод 3 3" xfId="1191"/>
    <cellStyle name="Вывод 3 3 2" xfId="3267"/>
    <cellStyle name="Вывод 3 3 2 10" xfId="19545"/>
    <cellStyle name="Вывод 3 3 2 2" xfId="5495"/>
    <cellStyle name="Вывод 3 3 2 2 2" xfId="5830"/>
    <cellStyle name="Вывод 3 3 2 2 2 2" xfId="20574"/>
    <cellStyle name="Вывод 3 3 2 2 2 3" xfId="22753"/>
    <cellStyle name="Вывод 3 3 2 2 2 4" xfId="19737"/>
    <cellStyle name="Вывод 3 3 2 2 2 5" xfId="20865"/>
    <cellStyle name="Вывод 3 3 2 2 2 6" xfId="23609"/>
    <cellStyle name="Вывод 3 3 2 2 2 7" xfId="21457"/>
    <cellStyle name="Вывод 3 3 2 2 3" xfId="6165"/>
    <cellStyle name="Вывод 3 3 2 2 3 2" xfId="23967"/>
    <cellStyle name="Вывод 3 3 2 2 3 3" xfId="19278"/>
    <cellStyle name="Вывод 3 3 2 2 4" xfId="19010"/>
    <cellStyle name="Вывод 3 3 2 2 4 2" xfId="22418"/>
    <cellStyle name="Вывод 3 3 2 2 5" xfId="23191"/>
    <cellStyle name="Вывод 3 3 2 2 6" xfId="20659"/>
    <cellStyle name="Вывод 3 3 2 2 7" xfId="19714"/>
    <cellStyle name="Вывод 3 3 2 3" xfId="5470"/>
    <cellStyle name="Вывод 3 3 2 3 2" xfId="5805"/>
    <cellStyle name="Вывод 3 3 2 3 2 2" xfId="21945"/>
    <cellStyle name="Вывод 3 3 2 3 2 3" xfId="22728"/>
    <cellStyle name="Вывод 3 3 2 3 2 4" xfId="19226"/>
    <cellStyle name="Вывод 3 3 2 3 2 5" xfId="20863"/>
    <cellStyle name="Вывод 3 3 2 3 2 6" xfId="23717"/>
    <cellStyle name="Вывод 3 3 2 3 2 7" xfId="21432"/>
    <cellStyle name="Вывод 3 3 2 3 3" xfId="6140"/>
    <cellStyle name="Вывод 3 3 2 3 3 2" xfId="23942"/>
    <cellStyle name="Вывод 3 3 2 3 3 3" xfId="20881"/>
    <cellStyle name="Вывод 3 3 2 3 4" xfId="18985"/>
    <cellStyle name="Вывод 3 3 2 3 4 2" xfId="22393"/>
    <cellStyle name="Вывод 3 3 2 3 5" xfId="23089"/>
    <cellStyle name="Вывод 3 3 2 3 6" xfId="22992"/>
    <cellStyle name="Вывод 3 3 2 3 7" xfId="22047"/>
    <cellStyle name="Вывод 3 3 2 4" xfId="5584"/>
    <cellStyle name="Вывод 3 3 2 4 2" xfId="22091"/>
    <cellStyle name="Вывод 3 3 2 4 3" xfId="22507"/>
    <cellStyle name="Вывод 3 3 2 4 4" xfId="23274"/>
    <cellStyle name="Вывод 3 3 2 4 5" xfId="19689"/>
    <cellStyle name="Вывод 3 3 2 4 6" xfId="23778"/>
    <cellStyle name="Вывод 3 3 2 4 7" xfId="21285"/>
    <cellStyle name="Вывод 3 3 2 5" xfId="5919"/>
    <cellStyle name="Вывод 3 3 2 5 2" xfId="20232"/>
    <cellStyle name="Вывод 3 3 2 5 3" xfId="22842"/>
    <cellStyle name="Вывод 3 3 2 5 4" xfId="21926"/>
    <cellStyle name="Вывод 3 3 2 5 5" xfId="19665"/>
    <cellStyle name="Вывод 3 3 2 5 6" xfId="19532"/>
    <cellStyle name="Вывод 3 3 2 5 7" xfId="21546"/>
    <cellStyle name="Вывод 3 3 2 6" xfId="6254"/>
    <cellStyle name="Вывод 3 3 2 6 2" xfId="24056"/>
    <cellStyle name="Вывод 3 3 2 6 3" xfId="20441"/>
    <cellStyle name="Вывод 3 3 2 7" xfId="19099"/>
    <cellStyle name="Вывод 3 3 2 7 2" xfId="21809"/>
    <cellStyle name="Вывод 3 3 2 8" xfId="22958"/>
    <cellStyle name="Вывод 3 3 2 9" xfId="21922"/>
    <cellStyle name="Вывод 3 3 3" xfId="5404"/>
    <cellStyle name="Вывод 3 3 3 2" xfId="21966"/>
    <cellStyle name="Вывод 3 3 3 3" xfId="22327"/>
    <cellStyle name="Вывод 3 3 3 4" xfId="23375"/>
    <cellStyle name="Вывод 3 3 3 5" xfId="23561"/>
    <cellStyle name="Вывод 3 3 3 6" xfId="22261"/>
    <cellStyle name="Вывод 3 3 3 7" xfId="21210"/>
    <cellStyle name="Вывод 3 3 4" xfId="5739"/>
    <cellStyle name="Вывод 3 3 4 2" xfId="22053"/>
    <cellStyle name="Вывод 3 3 4 3" xfId="22662"/>
    <cellStyle name="Вывод 3 3 4 4" xfId="20983"/>
    <cellStyle name="Вывод 3 3 4 5" xfId="19474"/>
    <cellStyle name="Вывод 3 3 4 6" xfId="20750"/>
    <cellStyle name="Вывод 3 3 4 7" xfId="21366"/>
    <cellStyle name="Вывод 3 3 5" xfId="6074"/>
    <cellStyle name="Вывод 3 3 5 2" xfId="23876"/>
    <cellStyle name="Вывод 3 3 5 3" xfId="21674"/>
    <cellStyle name="Вывод 3 3 6" xfId="18919"/>
    <cellStyle name="Вывод 3 3 6 2" xfId="22008"/>
    <cellStyle name="Вывод 3 3 7" xfId="22205"/>
    <cellStyle name="Вывод 3 3 8" xfId="23435"/>
    <cellStyle name="Вывод 3 3 9" xfId="20516"/>
    <cellStyle name="Вывод 3 4" xfId="1724"/>
    <cellStyle name="Вывод 3 4 2" xfId="3282"/>
    <cellStyle name="Вывод 3 4 2 10" xfId="20480"/>
    <cellStyle name="Вывод 3 4 2 2" xfId="5483"/>
    <cellStyle name="Вывод 3 4 2 2 2" xfId="5818"/>
    <cellStyle name="Вывод 3 4 2 2 2 2" xfId="20788"/>
    <cellStyle name="Вывод 3 4 2 2 2 3" xfId="22741"/>
    <cellStyle name="Вывод 3 4 2 2 2 4" xfId="21826"/>
    <cellStyle name="Вывод 3 4 2 2 2 5" xfId="19258"/>
    <cellStyle name="Вывод 3 4 2 2 2 6" xfId="20640"/>
    <cellStyle name="Вывод 3 4 2 2 2 7" xfId="21445"/>
    <cellStyle name="Вывод 3 4 2 2 3" xfId="6153"/>
    <cellStyle name="Вывод 3 4 2 2 3 2" xfId="23955"/>
    <cellStyle name="Вывод 3 4 2 2 3 3" xfId="21989"/>
    <cellStyle name="Вывод 3 4 2 2 4" xfId="18998"/>
    <cellStyle name="Вывод 3 4 2 2 4 2" xfId="22406"/>
    <cellStyle name="Вывод 3 4 2 2 5" xfId="23027"/>
    <cellStyle name="Вывод 3 4 2 2 6" xfId="20396"/>
    <cellStyle name="Вывод 3 4 2 2 7" xfId="23749"/>
    <cellStyle name="Вывод 3 4 2 3" xfId="5475"/>
    <cellStyle name="Вывод 3 4 2 3 2" xfId="5810"/>
    <cellStyle name="Вывод 3 4 2 3 2 2" xfId="20651"/>
    <cellStyle name="Вывод 3 4 2 3 2 3" xfId="22733"/>
    <cellStyle name="Вывод 3 4 2 3 2 4" xfId="20002"/>
    <cellStyle name="Вывод 3 4 2 3 2 5" xfId="23548"/>
    <cellStyle name="Вывод 3 4 2 3 2 6" xfId="23786"/>
    <cellStyle name="Вывод 3 4 2 3 2 7" xfId="21437"/>
    <cellStyle name="Вывод 3 4 2 3 3" xfId="6145"/>
    <cellStyle name="Вывод 3 4 2 3 3 2" xfId="23947"/>
    <cellStyle name="Вывод 3 4 2 3 3 3" xfId="21014"/>
    <cellStyle name="Вывод 3 4 2 3 4" xfId="18990"/>
    <cellStyle name="Вывод 3 4 2 3 4 2" xfId="22398"/>
    <cellStyle name="Вывод 3 4 2 3 5" xfId="23316"/>
    <cellStyle name="Вывод 3 4 2 3 6" xfId="19960"/>
    <cellStyle name="Вывод 3 4 2 3 7" xfId="22135"/>
    <cellStyle name="Вывод 3 4 2 4" xfId="5599"/>
    <cellStyle name="Вывод 3 4 2 4 2" xfId="20241"/>
    <cellStyle name="Вывод 3 4 2 4 3" xfId="22522"/>
    <cellStyle name="Вывод 3 4 2 4 4" xfId="23321"/>
    <cellStyle name="Вывод 3 4 2 4 5" xfId="19711"/>
    <cellStyle name="Вывод 3 4 2 4 6" xfId="20269"/>
    <cellStyle name="Вывод 3 4 2 4 7" xfId="21300"/>
    <cellStyle name="Вывод 3 4 2 5" xfId="5934"/>
    <cellStyle name="Вывод 3 4 2 5 2" xfId="21856"/>
    <cellStyle name="Вывод 3 4 2 5 3" xfId="22857"/>
    <cellStyle name="Вывод 3 4 2 5 4" xfId="19756"/>
    <cellStyle name="Вывод 3 4 2 5 5" xfId="23508"/>
    <cellStyle name="Вывод 3 4 2 5 6" xfId="20946"/>
    <cellStyle name="Вывод 3 4 2 5 7" xfId="21561"/>
    <cellStyle name="Вывод 3 4 2 6" xfId="6269"/>
    <cellStyle name="Вывод 3 4 2 6 2" xfId="24071"/>
    <cellStyle name="Вывод 3 4 2 6 3" xfId="21717"/>
    <cellStyle name="Вывод 3 4 2 7" xfId="19114"/>
    <cellStyle name="Вывод 3 4 2 7 2" xfId="21660"/>
    <cellStyle name="Вывод 3 4 2 8" xfId="19721"/>
    <cellStyle name="Вывод 3 4 2 9" xfId="22114"/>
    <cellStyle name="Вывод 3 4 3" xfId="5419"/>
    <cellStyle name="Вывод 3 4 3 2" xfId="20551"/>
    <cellStyle name="Вывод 3 4 3 3" xfId="22342"/>
    <cellStyle name="Вывод 3 4 3 4" xfId="23310"/>
    <cellStyle name="Вывод 3 4 3 5" xfId="21033"/>
    <cellStyle name="Вывод 3 4 3 6" xfId="20291"/>
    <cellStyle name="Вывод 3 4 3 7" xfId="21225"/>
    <cellStyle name="Вывод 3 4 4" xfId="5754"/>
    <cellStyle name="Вывод 3 4 4 2" xfId="19215"/>
    <cellStyle name="Вывод 3 4 4 3" xfId="22677"/>
    <cellStyle name="Вывод 3 4 4 4" xfId="21887"/>
    <cellStyle name="Вывод 3 4 4 5" xfId="19606"/>
    <cellStyle name="Вывод 3 4 4 6" xfId="19311"/>
    <cellStyle name="Вывод 3 4 4 7" xfId="21381"/>
    <cellStyle name="Вывод 3 4 5" xfId="6089"/>
    <cellStyle name="Вывод 3 4 5 2" xfId="23891"/>
    <cellStyle name="Вывод 3 4 5 3" xfId="19482"/>
    <cellStyle name="Вывод 3 4 6" xfId="18934"/>
    <cellStyle name="Вывод 3 4 6 2" xfId="21739"/>
    <cellStyle name="Вывод 3 4 7" xfId="20859"/>
    <cellStyle name="Вывод 3 4 8" xfId="21075"/>
    <cellStyle name="Вывод 3 4 9" xfId="20681"/>
    <cellStyle name="Вывод 3 5" xfId="3243"/>
    <cellStyle name="Вывод 3 5 10" xfId="20803"/>
    <cellStyle name="Вывод 3 5 2" xfId="5449"/>
    <cellStyle name="Вывод 3 5 2 2" xfId="5784"/>
    <cellStyle name="Вывод 3 5 2 2 2" xfId="19267"/>
    <cellStyle name="Вывод 3 5 2 2 3" xfId="22707"/>
    <cellStyle name="Вывод 3 5 2 2 4" xfId="23292"/>
    <cellStyle name="Вывод 3 5 2 2 5" xfId="21713"/>
    <cellStyle name="Вывод 3 5 2 2 6" xfId="23549"/>
    <cellStyle name="Вывод 3 5 2 2 7" xfId="21411"/>
    <cellStyle name="Вывод 3 5 2 3" xfId="6119"/>
    <cellStyle name="Вывод 3 5 2 3 2" xfId="23921"/>
    <cellStyle name="Вывод 3 5 2 3 3" xfId="20445"/>
    <cellStyle name="Вывод 3 5 2 4" xfId="18964"/>
    <cellStyle name="Вывод 3 5 2 4 2" xfId="22372"/>
    <cellStyle name="Вывод 3 5 2 5" xfId="23184"/>
    <cellStyle name="Вывод 3 5 2 6" xfId="23621"/>
    <cellStyle name="Вывод 3 5 2 7" xfId="23590"/>
    <cellStyle name="Вывод 3 5 3" xfId="5630"/>
    <cellStyle name="Вывод 3 5 3 2" xfId="5965"/>
    <cellStyle name="Вывод 3 5 3 2 2" xfId="21045"/>
    <cellStyle name="Вывод 3 5 3 2 3" xfId="22888"/>
    <cellStyle name="Вывод 3 5 3 2 4" xfId="20721"/>
    <cellStyle name="Вывод 3 5 3 2 5" xfId="19282"/>
    <cellStyle name="Вывод 3 5 3 2 6" xfId="20012"/>
    <cellStyle name="Вывод 3 5 3 2 7" xfId="21592"/>
    <cellStyle name="Вывод 3 5 3 3" xfId="6300"/>
    <cellStyle name="Вывод 3 5 3 3 2" xfId="24102"/>
    <cellStyle name="Вывод 3 5 3 3 3" xfId="21767"/>
    <cellStyle name="Вывод 3 5 3 4" xfId="19145"/>
    <cellStyle name="Вывод 3 5 3 4 2" xfId="22553"/>
    <cellStyle name="Вывод 3 5 3 5" xfId="23110"/>
    <cellStyle name="Вывод 3 5 3 6" xfId="19696"/>
    <cellStyle name="Вывод 3 5 3 7" xfId="23618"/>
    <cellStyle name="Вывод 3 5 4" xfId="5560"/>
    <cellStyle name="Вывод 3 5 4 2" xfId="21948"/>
    <cellStyle name="Вывод 3 5 4 3" xfId="22483"/>
    <cellStyle name="Вывод 3 5 4 4" xfId="23248"/>
    <cellStyle name="Вывод 3 5 4 5" xfId="20436"/>
    <cellStyle name="Вывод 3 5 4 6" xfId="23680"/>
    <cellStyle name="Вывод 3 5 4 7" xfId="21261"/>
    <cellStyle name="Вывод 3 5 5" xfId="5895"/>
    <cellStyle name="Вывод 3 5 5 2" xfId="21109"/>
    <cellStyle name="Вывод 3 5 5 3" xfId="22818"/>
    <cellStyle name="Вывод 3 5 5 4" xfId="20672"/>
    <cellStyle name="Вывод 3 5 5 5" xfId="20224"/>
    <cellStyle name="Вывод 3 5 5 6" xfId="21998"/>
    <cellStyle name="Вывод 3 5 5 7" xfId="21522"/>
    <cellStyle name="Вывод 3 5 6" xfId="6230"/>
    <cellStyle name="Вывод 3 5 6 2" xfId="24032"/>
    <cellStyle name="Вывод 3 5 6 3" xfId="20372"/>
    <cellStyle name="Вывод 3 5 7" xfId="19075"/>
    <cellStyle name="Вывод 3 5 7 2" xfId="19307"/>
    <cellStyle name="Вывод 3 5 8" xfId="19902"/>
    <cellStyle name="Вывод 3 5 9" xfId="19843"/>
    <cellStyle name="Вывод 3 6" xfId="5361"/>
    <cellStyle name="Вывод 3 6 2" xfId="21967"/>
    <cellStyle name="Вывод 3 6 3" xfId="22284"/>
    <cellStyle name="Вывод 3 6 4" xfId="23039"/>
    <cellStyle name="Вывод 3 6 5" xfId="19863"/>
    <cellStyle name="Вывод 3 6 6" xfId="19418"/>
    <cellStyle name="Вывод 3 6 7" xfId="21167"/>
    <cellStyle name="Вывод 3 7" xfId="5696"/>
    <cellStyle name="Вывод 3 7 2" xfId="19749"/>
    <cellStyle name="Вывод 3 7 3" xfId="22619"/>
    <cellStyle name="Вывод 3 7 4" xfId="23359"/>
    <cellStyle name="Вывод 3 7 5" xfId="23262"/>
    <cellStyle name="Вывод 3 7 6" xfId="23653"/>
    <cellStyle name="Вывод 3 7 7" xfId="21323"/>
    <cellStyle name="Вывод 3 8" xfId="6031"/>
    <cellStyle name="Вывод 3 8 2" xfId="23833"/>
    <cellStyle name="Вывод 3 8 3" xfId="19243"/>
    <cellStyle name="Вывод 3 9" xfId="18876"/>
    <cellStyle name="Вывод 3 9 2" xfId="19549"/>
    <cellStyle name="Вычисление 2" xfId="125"/>
    <cellStyle name="Вычисление 2 10" xfId="18877"/>
    <cellStyle name="Вычисление 2 10 2" xfId="21732"/>
    <cellStyle name="Вычисление 2 11" xfId="20621"/>
    <cellStyle name="Вычисление 2 12" xfId="23568"/>
    <cellStyle name="Вычисление 2 13" xfId="20267"/>
    <cellStyle name="Вычисление 2 2" xfId="126"/>
    <cellStyle name="Вычисление 2 2 10" xfId="18878"/>
    <cellStyle name="Вычисление 2 2 10 2" xfId="20217"/>
    <cellStyle name="Вычисление 2 2 11" xfId="22215"/>
    <cellStyle name="Вычисление 2 2 12" xfId="21071"/>
    <cellStyle name="Вычисление 2 2 13" xfId="23659"/>
    <cellStyle name="Вычисление 2 2 2" xfId="648"/>
    <cellStyle name="Вычисление 2 2 2 10" xfId="21007"/>
    <cellStyle name="Вычисление 2 2 2 2" xfId="1783"/>
    <cellStyle name="Вычисление 2 2 2 2 2" xfId="3295"/>
    <cellStyle name="Вычисление 2 2 2 2 2 10" xfId="23423"/>
    <cellStyle name="Вычисление 2 2 2 2 2 2" xfId="5658"/>
    <cellStyle name="Вычисление 2 2 2 2 2 2 2" xfId="5993"/>
    <cellStyle name="Вычисление 2 2 2 2 2 2 2 2" xfId="20118"/>
    <cellStyle name="Вычисление 2 2 2 2 2 2 2 3" xfId="22916"/>
    <cellStyle name="Вычисление 2 2 2 2 2 2 2 4" xfId="23388"/>
    <cellStyle name="Вычисление 2 2 2 2 2 2 2 5" xfId="20095"/>
    <cellStyle name="Вычисление 2 2 2 2 2 2 2 6" xfId="19396"/>
    <cellStyle name="Вычисление 2 2 2 2 2 2 2 7" xfId="21620"/>
    <cellStyle name="Вычисление 2 2 2 2 2 2 3" xfId="6328"/>
    <cellStyle name="Вычисление 2 2 2 2 2 2 3 2" xfId="24130"/>
    <cellStyle name="Вычисление 2 2 2 2 2 2 3 3" xfId="20349"/>
    <cellStyle name="Вычисление 2 2 2 2 2 2 4" xfId="19173"/>
    <cellStyle name="Вычисление 2 2 2 2 2 2 4 2" xfId="22581"/>
    <cellStyle name="Вычисление 2 2 2 2 2 2 5" xfId="23380"/>
    <cellStyle name="Вычисление 2 2 2 2 2 2 6" xfId="20714"/>
    <cellStyle name="Вычисление 2 2 2 2 2 2 7" xfId="20769"/>
    <cellStyle name="Вычисление 2 2 2 2 2 3" xfId="5534"/>
    <cellStyle name="Вычисление 2 2 2 2 2 3 2" xfId="5869"/>
    <cellStyle name="Вычисление 2 2 2 2 2 3 2 2" xfId="20653"/>
    <cellStyle name="Вычисление 2 2 2 2 2 3 2 3" xfId="22792"/>
    <cellStyle name="Вычисление 2 2 2 2 2 3 2 4" xfId="22204"/>
    <cellStyle name="Вычисление 2 2 2 2 2 3 2 5" xfId="20478"/>
    <cellStyle name="Вычисление 2 2 2 2 2 3 2 6" xfId="22097"/>
    <cellStyle name="Вычисление 2 2 2 2 2 3 2 7" xfId="21496"/>
    <cellStyle name="Вычисление 2 2 2 2 2 3 3" xfId="6204"/>
    <cellStyle name="Вычисление 2 2 2 2 2 3 3 2" xfId="24006"/>
    <cellStyle name="Вычисление 2 2 2 2 2 3 3 3" xfId="22025"/>
    <cellStyle name="Вычисление 2 2 2 2 2 3 4" xfId="19049"/>
    <cellStyle name="Вычисление 2 2 2 2 2 3 4 2" xfId="22457"/>
    <cellStyle name="Вычисление 2 2 2 2 2 3 5" xfId="23121"/>
    <cellStyle name="Вычисление 2 2 2 2 2 3 6" xfId="23457"/>
    <cellStyle name="Вычисление 2 2 2 2 2 3 7" xfId="23819"/>
    <cellStyle name="Вычисление 2 2 2 2 2 4" xfId="5612"/>
    <cellStyle name="Вычисление 2 2 2 2 2 4 2" xfId="21891"/>
    <cellStyle name="Вычисление 2 2 2 2 2 4 3" xfId="22535"/>
    <cellStyle name="Вычисление 2 2 2 2 2 4 4" xfId="23158"/>
    <cellStyle name="Вычисление 2 2 2 2 2 4 5" xfId="19387"/>
    <cellStyle name="Вычисление 2 2 2 2 2 4 6" xfId="23700"/>
    <cellStyle name="Вычисление 2 2 2 2 2 4 7" xfId="21313"/>
    <cellStyle name="Вычисление 2 2 2 2 2 5" xfId="5947"/>
    <cellStyle name="Вычисление 2 2 2 2 2 5 2" xfId="20789"/>
    <cellStyle name="Вычисление 2 2 2 2 2 5 3" xfId="22870"/>
    <cellStyle name="Вычисление 2 2 2 2 2 5 4" xfId="22112"/>
    <cellStyle name="Вычисление 2 2 2 2 2 5 5" xfId="23566"/>
    <cellStyle name="Вычисление 2 2 2 2 2 5 6" xfId="20262"/>
    <cellStyle name="Вычисление 2 2 2 2 2 5 7" xfId="21574"/>
    <cellStyle name="Вычисление 2 2 2 2 2 6" xfId="6282"/>
    <cellStyle name="Вычисление 2 2 2 2 2 6 2" xfId="24084"/>
    <cellStyle name="Вычисление 2 2 2 2 2 6 3" xfId="20581"/>
    <cellStyle name="Вычисление 2 2 2 2 2 7" xfId="19127"/>
    <cellStyle name="Вычисление 2 2 2 2 2 7 2" xfId="22136"/>
    <cellStyle name="Вычисление 2 2 2 2 2 8" xfId="20075"/>
    <cellStyle name="Вычисление 2 2 2 2 2 9" xfId="21825"/>
    <cellStyle name="Вычисление 2 2 2 2 3" xfId="5432"/>
    <cellStyle name="Вычисление 2 2 2 2 3 2" xfId="20133"/>
    <cellStyle name="Вычисление 2 2 2 2 3 3" xfId="22355"/>
    <cellStyle name="Вычисление 2 2 2 2 3 4" xfId="23358"/>
    <cellStyle name="Вычисление 2 2 2 2 3 5" xfId="20164"/>
    <cellStyle name="Вычисление 2 2 2 2 3 6" xfId="23781"/>
    <cellStyle name="Вычисление 2 2 2 2 3 7" xfId="21238"/>
    <cellStyle name="Вычисление 2 2 2 2 4" xfId="5767"/>
    <cellStyle name="Вычисление 2 2 2 2 4 2" xfId="20734"/>
    <cellStyle name="Вычисление 2 2 2 2 4 3" xfId="22690"/>
    <cellStyle name="Вычисление 2 2 2 2 4 4" xfId="21694"/>
    <cellStyle name="Вычисление 2 2 2 2 4 5" xfId="23503"/>
    <cellStyle name="Вычисление 2 2 2 2 4 6" xfId="22116"/>
    <cellStyle name="Вычисление 2 2 2 2 4 7" xfId="21394"/>
    <cellStyle name="Вычисление 2 2 2 2 5" xfId="6102"/>
    <cellStyle name="Вычисление 2 2 2 2 5 2" xfId="23904"/>
    <cellStyle name="Вычисление 2 2 2 2 5 3" xfId="20100"/>
    <cellStyle name="Вычисление 2 2 2 2 6" xfId="18947"/>
    <cellStyle name="Вычисление 2 2 2 2 6 2" xfId="19674"/>
    <cellStyle name="Вычисление 2 2 2 2 7" xfId="19620"/>
    <cellStyle name="Вычисление 2 2 2 2 8" xfId="20633"/>
    <cellStyle name="Вычисление 2 2 2 2 9" xfId="23562"/>
    <cellStyle name="Вычисление 2 2 2 3" xfId="3257"/>
    <cellStyle name="Вычисление 2 2 2 3 10" xfId="23766"/>
    <cellStyle name="Вычисление 2 2 2 3 2" xfId="5455"/>
    <cellStyle name="Вычисление 2 2 2 3 2 2" xfId="5790"/>
    <cellStyle name="Вычисление 2 2 2 3 2 2 2" xfId="21073"/>
    <cellStyle name="Вычисление 2 2 2 3 2 2 3" xfId="22713"/>
    <cellStyle name="Вычисление 2 2 2 3 2 2 4" xfId="22056"/>
    <cellStyle name="Вычисление 2 2 2 3 2 2 5" xfId="19781"/>
    <cellStyle name="Вычисление 2 2 2 3 2 2 6" xfId="20408"/>
    <cellStyle name="Вычисление 2 2 2 3 2 2 7" xfId="21417"/>
    <cellStyle name="Вычисление 2 2 2 3 2 3" xfId="6125"/>
    <cellStyle name="Вычисление 2 2 2 3 2 3 2" xfId="23927"/>
    <cellStyle name="Вычисление 2 2 2 3 2 3 3" xfId="20130"/>
    <cellStyle name="Вычисление 2 2 2 3 2 4" xfId="18970"/>
    <cellStyle name="Вычисление 2 2 2 3 2 4 2" xfId="22378"/>
    <cellStyle name="Вычисление 2 2 2 3 2 5" xfId="23333"/>
    <cellStyle name="Вычисление 2 2 2 3 2 6" xfId="20094"/>
    <cellStyle name="Вычисление 2 2 2 3 2 7" xfId="21843"/>
    <cellStyle name="Вычисление 2 2 2 3 3" xfId="5532"/>
    <cellStyle name="Вычисление 2 2 2 3 3 2" xfId="5867"/>
    <cellStyle name="Вычисление 2 2 2 3 3 2 2" xfId="19435"/>
    <cellStyle name="Вычисление 2 2 2 3 3 2 3" xfId="22790"/>
    <cellStyle name="Вычисление 2 2 2 3 3 2 4" xfId="20533"/>
    <cellStyle name="Вычисление 2 2 2 3 3 2 5" xfId="20444"/>
    <cellStyle name="Вычисление 2 2 2 3 3 2 6" xfId="21119"/>
    <cellStyle name="Вычисление 2 2 2 3 3 2 7" xfId="21494"/>
    <cellStyle name="Вычисление 2 2 2 3 3 3" xfId="6202"/>
    <cellStyle name="Вычисление 2 2 2 3 3 3 2" xfId="24004"/>
    <cellStyle name="Вычисление 2 2 2 3 3 3 3" xfId="22004"/>
    <cellStyle name="Вычисление 2 2 2 3 3 4" xfId="19047"/>
    <cellStyle name="Вычисление 2 2 2 3 3 4 2" xfId="22455"/>
    <cellStyle name="Вычисление 2 2 2 3 3 5" xfId="22990"/>
    <cellStyle name="Вычисление 2 2 2 3 3 6" xfId="20862"/>
    <cellStyle name="Вычисление 2 2 2 3 3 7" xfId="23675"/>
    <cellStyle name="Вычисление 2 2 2 3 4" xfId="5574"/>
    <cellStyle name="Вычисление 2 2 2 3 4 2" xfId="19628"/>
    <cellStyle name="Вычисление 2 2 2 3 4 3" xfId="22497"/>
    <cellStyle name="Вычисление 2 2 2 3 4 4" xfId="23038"/>
    <cellStyle name="Вычисление 2 2 2 3 4 5" xfId="22953"/>
    <cellStyle name="Вычисление 2 2 2 3 4 6" xfId="20233"/>
    <cellStyle name="Вычисление 2 2 2 3 4 7" xfId="21275"/>
    <cellStyle name="Вычисление 2 2 2 3 5" xfId="5909"/>
    <cellStyle name="Вычисление 2 2 2 3 5 2" xfId="20718"/>
    <cellStyle name="Вычисление 2 2 2 3 5 3" xfId="22832"/>
    <cellStyle name="Вычисление 2 2 2 3 5 4" xfId="22031"/>
    <cellStyle name="Вычисление 2 2 2 3 5 5" xfId="19514"/>
    <cellStyle name="Вычисление 2 2 2 3 5 6" xfId="23560"/>
    <cellStyle name="Вычисление 2 2 2 3 5 7" xfId="21536"/>
    <cellStyle name="Вычисление 2 2 2 3 6" xfId="6244"/>
    <cellStyle name="Вычисление 2 2 2 3 6 2" xfId="24046"/>
    <cellStyle name="Вычисление 2 2 2 3 6 3" xfId="22083"/>
    <cellStyle name="Вычисление 2 2 2 3 7" xfId="19089"/>
    <cellStyle name="Вычисление 2 2 2 3 7 2" xfId="19559"/>
    <cellStyle name="Вычисление 2 2 2 3 8" xfId="19741"/>
    <cellStyle name="Вычисление 2 2 2 3 9" xfId="22098"/>
    <cellStyle name="Вычисление 2 2 2 4" xfId="5394"/>
    <cellStyle name="Вычисление 2 2 2 4 2" xfId="19328"/>
    <cellStyle name="Вычисление 2 2 2 4 3" xfId="22317"/>
    <cellStyle name="Вычисление 2 2 2 4 4" xfId="23112"/>
    <cellStyle name="Вычисление 2 2 2 4 5" xfId="20665"/>
    <cellStyle name="Вычисление 2 2 2 4 6" xfId="20402"/>
    <cellStyle name="Вычисление 2 2 2 4 7" xfId="21200"/>
    <cellStyle name="Вычисление 2 2 2 5" xfId="5729"/>
    <cellStyle name="Вычисление 2 2 2 5 2" xfId="21890"/>
    <cellStyle name="Вычисление 2 2 2 5 3" xfId="22652"/>
    <cellStyle name="Вычисление 2 2 2 5 4" xfId="20476"/>
    <cellStyle name="Вычисление 2 2 2 5 5" xfId="21133"/>
    <cellStyle name="Вычисление 2 2 2 5 6" xfId="23689"/>
    <cellStyle name="Вычисление 2 2 2 5 7" xfId="21356"/>
    <cellStyle name="Вычисление 2 2 2 6" xfId="6064"/>
    <cellStyle name="Вычисление 2 2 2 6 2" xfId="23866"/>
    <cellStyle name="Вычисление 2 2 2 6 3" xfId="21730"/>
    <cellStyle name="Вычисление 2 2 2 7" xfId="18909"/>
    <cellStyle name="Вычисление 2 2 2 7 2" xfId="20001"/>
    <cellStyle name="Вычисление 2 2 2 8" xfId="21861"/>
    <cellStyle name="Вычисление 2 2 2 9" xfId="20194"/>
    <cellStyle name="Вычисление 2 2 3" xfId="1193"/>
    <cellStyle name="Вычисление 2 2 3 2" xfId="3269"/>
    <cellStyle name="Вычисление 2 2 3 2 10" xfId="20019"/>
    <cellStyle name="Вычисление 2 2 3 2 2" xfId="5626"/>
    <cellStyle name="Вычисление 2 2 3 2 2 2" xfId="5961"/>
    <cellStyle name="Вычисление 2 2 3 2 2 2 2" xfId="19283"/>
    <cellStyle name="Вычисление 2 2 3 2 2 2 3" xfId="22884"/>
    <cellStyle name="Вычисление 2 2 3 2 2 2 4" xfId="19809"/>
    <cellStyle name="Вычисление 2 2 3 2 2 2 5" xfId="19987"/>
    <cellStyle name="Вычисление 2 2 3 2 2 2 6" xfId="19239"/>
    <cellStyle name="Вычисление 2 2 3 2 2 2 7" xfId="21588"/>
    <cellStyle name="Вычисление 2 2 3 2 2 3" xfId="6296"/>
    <cellStyle name="Вычисление 2 2 3 2 2 3 2" xfId="24098"/>
    <cellStyle name="Вычисление 2 2 3 2 2 3 3" xfId="22180"/>
    <cellStyle name="Вычисление 2 2 3 2 2 4" xfId="19141"/>
    <cellStyle name="Вычисление 2 2 3 2 2 4 2" xfId="22549"/>
    <cellStyle name="Вычисление 2 2 3 2 2 5" xfId="21968"/>
    <cellStyle name="Вычисление 2 2 3 2 2 6" xfId="19870"/>
    <cellStyle name="Вычисление 2 2 3 2 2 7" xfId="22052"/>
    <cellStyle name="Вычисление 2 2 3 2 3" xfId="5529"/>
    <cellStyle name="Вычисление 2 2 3 2 3 2" xfId="5864"/>
    <cellStyle name="Вычисление 2 2 3 2 3 2 2" xfId="20246"/>
    <cellStyle name="Вычисление 2 2 3 2 3 2 3" xfId="22787"/>
    <cellStyle name="Вычисление 2 2 3 2 3 2 4" xfId="19854"/>
    <cellStyle name="Вычисление 2 2 3 2 3 2 5" xfId="23008"/>
    <cellStyle name="Вычисление 2 2 3 2 3 2 6" xfId="21774"/>
    <cellStyle name="Вычисление 2 2 3 2 3 2 7" xfId="21491"/>
    <cellStyle name="Вычисление 2 2 3 2 3 3" xfId="6199"/>
    <cellStyle name="Вычисление 2 2 3 2 3 3 2" xfId="24001"/>
    <cellStyle name="Вычисление 2 2 3 2 3 3 3" xfId="22043"/>
    <cellStyle name="Вычисление 2 2 3 2 3 4" xfId="19044"/>
    <cellStyle name="Вычисление 2 2 3 2 3 4 2" xfId="22452"/>
    <cellStyle name="Вычисление 2 2 3 2 3 5" xfId="22228"/>
    <cellStyle name="Вычисление 2 2 3 2 3 6" xfId="21705"/>
    <cellStyle name="Вычисление 2 2 3 2 3 7" xfId="23744"/>
    <cellStyle name="Вычисление 2 2 3 2 4" xfId="5586"/>
    <cellStyle name="Вычисление 2 2 3 2 4 2" xfId="21869"/>
    <cellStyle name="Вычисление 2 2 3 2 4 3" xfId="22509"/>
    <cellStyle name="Вычисление 2 2 3 2 4 4" xfId="20466"/>
    <cellStyle name="Вычисление 2 2 3 2 4 5" xfId="20655"/>
    <cellStyle name="Вычисление 2 2 3 2 4 6" xfId="19341"/>
    <cellStyle name="Вычисление 2 2 3 2 4 7" xfId="21287"/>
    <cellStyle name="Вычисление 2 2 3 2 5" xfId="5921"/>
    <cellStyle name="Вычисление 2 2 3 2 5 2" xfId="19394"/>
    <cellStyle name="Вычисление 2 2 3 2 5 3" xfId="22844"/>
    <cellStyle name="Вычисление 2 2 3 2 5 4" xfId="20723"/>
    <cellStyle name="Вычисление 2 2 3 2 5 5" xfId="19413"/>
    <cellStyle name="Вычисление 2 2 3 2 5 6" xfId="23663"/>
    <cellStyle name="Вычисление 2 2 3 2 5 7" xfId="21548"/>
    <cellStyle name="Вычисление 2 2 3 2 6" xfId="6256"/>
    <cellStyle name="Вычисление 2 2 3 2 6 2" xfId="24058"/>
    <cellStyle name="Вычисление 2 2 3 2 6 3" xfId="21780"/>
    <cellStyle name="Вычисление 2 2 3 2 7" xfId="19101"/>
    <cellStyle name="Вычисление 2 2 3 2 7 2" xfId="19274"/>
    <cellStyle name="Вычисление 2 2 3 2 8" xfId="19947"/>
    <cellStyle name="Вычисление 2 2 3 2 9" xfId="19211"/>
    <cellStyle name="Вычисление 2 2 3 3" xfId="5406"/>
    <cellStyle name="Вычисление 2 2 3 3 2" xfId="19784"/>
    <cellStyle name="Вычисление 2 2 3 3 3" xfId="22329"/>
    <cellStyle name="Вычисление 2 2 3 3 4" xfId="20170"/>
    <cellStyle name="Вычисление 2 2 3 3 5" xfId="23550"/>
    <cellStyle name="Вычисление 2 2 3 3 6" xfId="23808"/>
    <cellStyle name="Вычисление 2 2 3 3 7" xfId="21212"/>
    <cellStyle name="Вычисление 2 2 3 4" xfId="5741"/>
    <cellStyle name="Вычисление 2 2 3 4 2" xfId="19610"/>
    <cellStyle name="Вычисление 2 2 3 4 3" xfId="22664"/>
    <cellStyle name="Вычисление 2 2 3 4 4" xfId="19799"/>
    <cellStyle name="Вычисление 2 2 3 4 5" xfId="21744"/>
    <cellStyle name="Вычисление 2 2 3 4 6" xfId="20421"/>
    <cellStyle name="Вычисление 2 2 3 4 7" xfId="21368"/>
    <cellStyle name="Вычисление 2 2 3 5" xfId="6076"/>
    <cellStyle name="Вычисление 2 2 3 5 2" xfId="23878"/>
    <cellStyle name="Вычисление 2 2 3 5 3" xfId="19708"/>
    <cellStyle name="Вычисление 2 2 3 6" xfId="18921"/>
    <cellStyle name="Вычисление 2 2 3 6 2" xfId="19363"/>
    <cellStyle name="Вычисление 2 2 3 7" xfId="19887"/>
    <cellStyle name="Вычисление 2 2 3 8" xfId="20999"/>
    <cellStyle name="Вычисление 2 2 3 9" xfId="23335"/>
    <cellStyle name="Вычисление 2 2 4" xfId="1725"/>
    <cellStyle name="Вычисление 2 2 4 2" xfId="3283"/>
    <cellStyle name="Вычисление 2 2 4 2 10" xfId="21756"/>
    <cellStyle name="Вычисление 2 2 4 2 2" xfId="5497"/>
    <cellStyle name="Вычисление 2 2 4 2 2 2" xfId="5832"/>
    <cellStyle name="Вычисление 2 2 4 2 2 2 2" xfId="19964"/>
    <cellStyle name="Вычисление 2 2 4 2 2 2 3" xfId="22755"/>
    <cellStyle name="Вычисление 2 2 4 2 2 2 4" xfId="21144"/>
    <cellStyle name="Вычисление 2 2 4 2 2 2 5" xfId="20158"/>
    <cellStyle name="Вычисление 2 2 4 2 2 2 6" xfId="20321"/>
    <cellStyle name="Вычисление 2 2 4 2 2 2 7" xfId="21459"/>
    <cellStyle name="Вычисление 2 2 4 2 2 3" xfId="6167"/>
    <cellStyle name="Вычисление 2 2 4 2 2 3 2" xfId="23969"/>
    <cellStyle name="Вычисление 2 2 4 2 2 3 3" xfId="20747"/>
    <cellStyle name="Вычисление 2 2 4 2 2 4" xfId="19012"/>
    <cellStyle name="Вычисление 2 2 4 2 2 4 2" xfId="22420"/>
    <cellStyle name="Вычисление 2 2 4 2 2 5" xfId="23307"/>
    <cellStyle name="Вычисление 2 2 4 2 2 6" xfId="19362"/>
    <cellStyle name="Вычисление 2 2 4 2 2 7" xfId="23748"/>
    <cellStyle name="Вычисление 2 2 4 2 3" xfId="5476"/>
    <cellStyle name="Вычисление 2 2 4 2 3 2" xfId="5811"/>
    <cellStyle name="Вычисление 2 2 4 2 3 2 2" xfId="20483"/>
    <cellStyle name="Вычисление 2 2 4 2 3 2 3" xfId="22734"/>
    <cellStyle name="Вычисление 2 2 4 2 3 2 4" xfId="21017"/>
    <cellStyle name="Вычисление 2 2 4 2 3 2 5" xfId="21874"/>
    <cellStyle name="Вычисление 2 2 4 2 3 2 6" xfId="19868"/>
    <cellStyle name="Вычисление 2 2 4 2 3 2 7" xfId="21438"/>
    <cellStyle name="Вычисление 2 2 4 2 3 3" xfId="6146"/>
    <cellStyle name="Вычисление 2 2 4 2 3 3 2" xfId="23948"/>
    <cellStyle name="Вычисление 2 2 4 2 3 3 3" xfId="22021"/>
    <cellStyle name="Вычисление 2 2 4 2 3 4" xfId="18991"/>
    <cellStyle name="Вычисление 2 2 4 2 3 4 2" xfId="22399"/>
    <cellStyle name="Вычисление 2 2 4 2 3 5" xfId="23122"/>
    <cellStyle name="Вычисление 2 2 4 2 3 6" xfId="19808"/>
    <cellStyle name="Вычисление 2 2 4 2 3 7" xfId="20362"/>
    <cellStyle name="Вычисление 2 2 4 2 4" xfId="5600"/>
    <cellStyle name="Вычисление 2 2 4 2 4 2" xfId="19592"/>
    <cellStyle name="Вычисление 2 2 4 2 4 3" xfId="22523"/>
    <cellStyle name="Вычисление 2 2 4 2 4 4" xfId="23124"/>
    <cellStyle name="Вычисление 2 2 4 2 4 5" xfId="19266"/>
    <cellStyle name="Вычисление 2 2 4 2 4 6" xfId="19778"/>
    <cellStyle name="Вычисление 2 2 4 2 4 7" xfId="21301"/>
    <cellStyle name="Вычисление 2 2 4 2 5" xfId="5935"/>
    <cellStyle name="Вычисление 2 2 4 2 5 2" xfId="20172"/>
    <cellStyle name="Вычисление 2 2 4 2 5 3" xfId="22858"/>
    <cellStyle name="Вычисление 2 2 4 2 5 4" xfId="22120"/>
    <cellStyle name="Вычисление 2 2 4 2 5 5" xfId="19360"/>
    <cellStyle name="Вычисление 2 2 4 2 5 6" xfId="21693"/>
    <cellStyle name="Вычисление 2 2 4 2 5 7" xfId="21562"/>
    <cellStyle name="Вычисление 2 2 4 2 6" xfId="6270"/>
    <cellStyle name="Вычисление 2 2 4 2 6 2" xfId="24072"/>
    <cellStyle name="Вычисление 2 2 4 2 6 3" xfId="21831"/>
    <cellStyle name="Вычисление 2 2 4 2 7" xfId="19115"/>
    <cellStyle name="Вычисление 2 2 4 2 7 2" xfId="22079"/>
    <cellStyle name="Вычисление 2 2 4 2 8" xfId="21053"/>
    <cellStyle name="Вычисление 2 2 4 2 9" xfId="19369"/>
    <cellStyle name="Вычисление 2 2 4 3" xfId="5420"/>
    <cellStyle name="Вычисление 2 2 4 3 2" xfId="22179"/>
    <cellStyle name="Вычисление 2 2 4 3 3" xfId="22343"/>
    <cellStyle name="Вычисление 2 2 4 3 4" xfId="23114"/>
    <cellStyle name="Вычисление 2 2 4 3 5" xfId="19346"/>
    <cellStyle name="Вычисление 2 2 4 3 6" xfId="20384"/>
    <cellStyle name="Вычисление 2 2 4 3 7" xfId="21226"/>
    <cellStyle name="Вычисление 2 2 4 4" xfId="5755"/>
    <cellStyle name="Вычисление 2 2 4 4 2" xfId="20644"/>
    <cellStyle name="Вычисление 2 2 4 4 3" xfId="22678"/>
    <cellStyle name="Вычисление 2 2 4 4 4" xfId="20119"/>
    <cellStyle name="Вычисление 2 2 4 4 5" xfId="21064"/>
    <cellStyle name="Вычисление 2 2 4 4 6" xfId="19509"/>
    <cellStyle name="Вычисление 2 2 4 4 7" xfId="21382"/>
    <cellStyle name="Вычисление 2 2 4 5" xfId="6090"/>
    <cellStyle name="Вычисление 2 2 4 5 2" xfId="23892"/>
    <cellStyle name="Вычисление 2 2 4 5 3" xfId="19644"/>
    <cellStyle name="Вычисление 2 2 4 6" xfId="18935"/>
    <cellStyle name="Вычисление 2 2 4 6 2" xfId="20763"/>
    <cellStyle name="Вычисление 2 2 4 7" xfId="19312"/>
    <cellStyle name="Вычисление 2 2 4 8" xfId="22961"/>
    <cellStyle name="Вычисление 2 2 4 9" xfId="23217"/>
    <cellStyle name="Вычисление 2 2 5" xfId="2954"/>
    <cellStyle name="Вычисление 2 2 5 10" xfId="19609"/>
    <cellStyle name="Вычисление 2 2 5 2" xfId="5533"/>
    <cellStyle name="Вычисление 2 2 5 2 2" xfId="5868"/>
    <cellStyle name="Вычисление 2 2 5 2 2 2" xfId="19992"/>
    <cellStyle name="Вычисление 2 2 5 2 2 3" xfId="22791"/>
    <cellStyle name="Вычисление 2 2 5 2 2 4" xfId="20831"/>
    <cellStyle name="Вычисление 2 2 5 2 2 5" xfId="19688"/>
    <cellStyle name="Вычисление 2 2 5 2 2 6" xfId="20834"/>
    <cellStyle name="Вычисление 2 2 5 2 2 7" xfId="21495"/>
    <cellStyle name="Вычисление 2 2 5 2 3" xfId="6203"/>
    <cellStyle name="Вычисление 2 2 5 2 3 2" xfId="24005"/>
    <cellStyle name="Вычисление 2 2 5 2 3 3" xfId="21867"/>
    <cellStyle name="Вычисление 2 2 5 2 4" xfId="19048"/>
    <cellStyle name="Вычисление 2 2 5 2 4 2" xfId="22456"/>
    <cellStyle name="Вычисление 2 2 5 2 5" xfId="23315"/>
    <cellStyle name="Вычисление 2 2 5 2 6" xfId="21029"/>
    <cellStyle name="Вычисление 2 2 5 2 7" xfId="19598"/>
    <cellStyle name="Вычисление 2 2 5 3" xfId="5682"/>
    <cellStyle name="Вычисление 2 2 5 3 2" xfId="6017"/>
    <cellStyle name="Вычисление 2 2 5 3 2 2" xfId="19432"/>
    <cellStyle name="Вычисление 2 2 5 3 2 3" xfId="22940"/>
    <cellStyle name="Вычисление 2 2 5 3 2 4" xfId="23412"/>
    <cellStyle name="Вычисление 2 2 5 3 2 5" xfId="23638"/>
    <cellStyle name="Вычисление 2 2 5 3 2 6" xfId="21836"/>
    <cellStyle name="Вычисление 2 2 5 3 2 7" xfId="21644"/>
    <cellStyle name="Вычисление 2 2 5 3 3" xfId="6352"/>
    <cellStyle name="Вычисление 2 2 5 3 3 2" xfId="24154"/>
    <cellStyle name="Вычисление 2 2 5 3 3 3" xfId="21893"/>
    <cellStyle name="Вычисление 2 2 5 3 4" xfId="19197"/>
    <cellStyle name="Вычисление 2 2 5 3 4 2" xfId="22605"/>
    <cellStyle name="Вычисление 2 2 5 3 5" xfId="19322"/>
    <cellStyle name="Вычисление 2 2 5 3 6" xfId="21689"/>
    <cellStyle name="Вычисление 2 2 5 3 7" xfId="21852"/>
    <cellStyle name="Вычисление 2 2 5 4" xfId="5382"/>
    <cellStyle name="Вычисление 2 2 5 4 2" xfId="20135"/>
    <cellStyle name="Вычисление 2 2 5 4 3" xfId="22305"/>
    <cellStyle name="Вычисление 2 2 5 4 4" xfId="23145"/>
    <cellStyle name="Вычисление 2 2 5 4 5" xfId="21706"/>
    <cellStyle name="Вычисление 2 2 5 4 6" xfId="23451"/>
    <cellStyle name="Вычисление 2 2 5 4 7" xfId="21188"/>
    <cellStyle name="Вычисление 2 2 5 5" xfId="5717"/>
    <cellStyle name="Вычисление 2 2 5 5 2" xfId="21858"/>
    <cellStyle name="Вычисление 2 2 5 5 3" xfId="22640"/>
    <cellStyle name="Вычисление 2 2 5 5 4" xfId="21980"/>
    <cellStyle name="Вычисление 2 2 5 5 5" xfId="20451"/>
    <cellStyle name="Вычисление 2 2 5 5 6" xfId="20731"/>
    <cellStyle name="Вычисление 2 2 5 5 7" xfId="21344"/>
    <cellStyle name="Вычисление 2 2 5 6" xfId="6052"/>
    <cellStyle name="Вычисление 2 2 5 6 2" xfId="23854"/>
    <cellStyle name="Вычисление 2 2 5 6 3" xfId="19909"/>
    <cellStyle name="Вычисление 2 2 5 7" xfId="18897"/>
    <cellStyle name="Вычисление 2 2 5 7 2" xfId="20389"/>
    <cellStyle name="Вычисление 2 2 5 8" xfId="20889"/>
    <cellStyle name="Вычисление 2 2 5 9" xfId="20668"/>
    <cellStyle name="Вычисление 2 2 6" xfId="3245"/>
    <cellStyle name="Вычисление 2 2 6 10" xfId="23467"/>
    <cellStyle name="Вычисление 2 2 6 2" xfId="5635"/>
    <cellStyle name="Вычисление 2 2 6 2 2" xfId="5970"/>
    <cellStyle name="Вычисление 2 2 6 2 2 2" xfId="19356"/>
    <cellStyle name="Вычисление 2 2 6 2 2 3" xfId="22893"/>
    <cellStyle name="Вычисление 2 2 6 2 2 4" xfId="20361"/>
    <cellStyle name="Вычисление 2 2 6 2 2 5" xfId="22219"/>
    <cellStyle name="Вычисление 2 2 6 2 2 6" xfId="19976"/>
    <cellStyle name="Вычисление 2 2 6 2 2 7" xfId="21597"/>
    <cellStyle name="Вычисление 2 2 6 2 3" xfId="6305"/>
    <cellStyle name="Вычисление 2 2 6 2 3 2" xfId="24107"/>
    <cellStyle name="Вычисление 2 2 6 2 3 3" xfId="20759"/>
    <cellStyle name="Вычисление 2 2 6 2 4" xfId="19150"/>
    <cellStyle name="Вычисление 2 2 6 2 4 2" xfId="22558"/>
    <cellStyle name="Вычисление 2 2 6 2 5" xfId="20695"/>
    <cellStyle name="Вычисление 2 2 6 2 6" xfId="21785"/>
    <cellStyle name="Вычисление 2 2 6 2 7" xfId="20235"/>
    <cellStyle name="Вычисление 2 2 6 3" xfId="5667"/>
    <cellStyle name="Вычисление 2 2 6 3 2" xfId="6002"/>
    <cellStyle name="Вычисление 2 2 6 3 2 2" xfId="19433"/>
    <cellStyle name="Вычисление 2 2 6 3 2 3" xfId="22925"/>
    <cellStyle name="Вычисление 2 2 6 3 2 4" xfId="23397"/>
    <cellStyle name="Вычисление 2 2 6 3 2 5" xfId="19996"/>
    <cellStyle name="Вычисление 2 2 6 3 2 6" xfId="20670"/>
    <cellStyle name="Вычисление 2 2 6 3 2 7" xfId="21629"/>
    <cellStyle name="Вычисление 2 2 6 3 3" xfId="6337"/>
    <cellStyle name="Вычисление 2 2 6 3 3 2" xfId="24139"/>
    <cellStyle name="Вычисление 2 2 6 3 3 3" xfId="21928"/>
    <cellStyle name="Вычисление 2 2 6 3 4" xfId="19182"/>
    <cellStyle name="Вычисление 2 2 6 3 4 2" xfId="22590"/>
    <cellStyle name="Вычисление 2 2 6 3 5" xfId="23266"/>
    <cellStyle name="Вычисление 2 2 6 3 6" xfId="19700"/>
    <cellStyle name="Вычисление 2 2 6 3 7" xfId="23458"/>
    <cellStyle name="Вычисление 2 2 6 4" xfId="5562"/>
    <cellStyle name="Вычисление 2 2 6 4 2" xfId="20907"/>
    <cellStyle name="Вычисление 2 2 6 4 3" xfId="22485"/>
    <cellStyle name="Вычисление 2 2 6 4 4" xfId="20079"/>
    <cellStyle name="Вычисление 2 2 6 4 5" xfId="19238"/>
    <cellStyle name="Вычисление 2 2 6 4 6" xfId="23817"/>
    <cellStyle name="Вычисление 2 2 6 4 7" xfId="21263"/>
    <cellStyle name="Вычисление 2 2 6 5" xfId="5897"/>
    <cellStyle name="Вычисление 2 2 6 5 2" xfId="21680"/>
    <cellStyle name="Вычисление 2 2 6 5 3" xfId="22820"/>
    <cellStyle name="Вычисление 2 2 6 5 4" xfId="22070"/>
    <cellStyle name="Вычисление 2 2 6 5 5" xfId="19758"/>
    <cellStyle name="Вычисление 2 2 6 5 6" xfId="21807"/>
    <cellStyle name="Вычисление 2 2 6 5 7" xfId="21524"/>
    <cellStyle name="Вычисление 2 2 6 6" xfId="6232"/>
    <cellStyle name="Вычисление 2 2 6 6 2" xfId="24034"/>
    <cellStyle name="Вычисление 2 2 6 6 3" xfId="19729"/>
    <cellStyle name="Вычисление 2 2 6 7" xfId="19077"/>
    <cellStyle name="Вычисление 2 2 6 7 2" xfId="20182"/>
    <cellStyle name="Вычисление 2 2 6 8" xfId="19407"/>
    <cellStyle name="Вычисление 2 2 6 9" xfId="21804"/>
    <cellStyle name="Вычисление 2 2 7" xfId="5363"/>
    <cellStyle name="Вычисление 2 2 7 2" xfId="20003"/>
    <cellStyle name="Вычисление 2 2 7 3" xfId="22286"/>
    <cellStyle name="Вычисление 2 2 7 4" xfId="23086"/>
    <cellStyle name="Вычисление 2 2 7 5" xfId="19441"/>
    <cellStyle name="Вычисление 2 2 7 6" xfId="20051"/>
    <cellStyle name="Вычисление 2 2 7 7" xfId="21169"/>
    <cellStyle name="Вычисление 2 2 8" xfId="5698"/>
    <cellStyle name="Вычисление 2 2 8 2" xfId="21955"/>
    <cellStyle name="Вычисление 2 2 8 3" xfId="22621"/>
    <cellStyle name="Вычисление 2 2 8 4" xfId="23299"/>
    <cellStyle name="Вычисление 2 2 8 5" xfId="23464"/>
    <cellStyle name="Вычисление 2 2 8 6" xfId="23687"/>
    <cellStyle name="Вычисление 2 2 8 7" xfId="21325"/>
    <cellStyle name="Вычисление 2 2 9" xfId="6033"/>
    <cellStyle name="Вычисление 2 2 9 2" xfId="23835"/>
    <cellStyle name="Вычисление 2 2 9 3" xfId="20741"/>
    <cellStyle name="Вычисление 2 3" xfId="127"/>
    <cellStyle name="Вычисление 2 3 10" xfId="20578"/>
    <cellStyle name="Вычисление 2 3 2" xfId="1726"/>
    <cellStyle name="Вычисление 2 3 2 2" xfId="3284"/>
    <cellStyle name="Вычисление 2 3 2 2 10" xfId="20573"/>
    <cellStyle name="Вычисление 2 3 2 2 2" xfId="5504"/>
    <cellStyle name="Вычисление 2 3 2 2 2 2" xfId="5839"/>
    <cellStyle name="Вычисление 2 3 2 2 2 2 2" xfId="20050"/>
    <cellStyle name="Вычисление 2 3 2 2 2 2 3" xfId="22762"/>
    <cellStyle name="Вычисление 2 3 2 2 2 2 4" xfId="20616"/>
    <cellStyle name="Вычисление 2 3 2 2 2 2 5" xfId="21851"/>
    <cellStyle name="Вычисление 2 3 2 2 2 2 6" xfId="23167"/>
    <cellStyle name="Вычисление 2 3 2 2 2 2 7" xfId="21466"/>
    <cellStyle name="Вычисление 2 3 2 2 2 3" xfId="6174"/>
    <cellStyle name="Вычисление 2 3 2 2 2 3 2" xfId="23976"/>
    <cellStyle name="Вычисление 2 3 2 2 2 3 3" xfId="20091"/>
    <cellStyle name="Вычисление 2 3 2 2 2 4" xfId="19019"/>
    <cellStyle name="Вычисление 2 3 2 2 2 4 2" xfId="22427"/>
    <cellStyle name="Вычисление 2 3 2 2 2 5" xfId="23202"/>
    <cellStyle name="Вычисление 2 3 2 2 2 6" xfId="23507"/>
    <cellStyle name="Вычисление 2 3 2 2 2 7" xfId="23742"/>
    <cellStyle name="Вычисление 2 3 2 2 3" xfId="5489"/>
    <cellStyle name="Вычисление 2 3 2 2 3 2" xfId="5824"/>
    <cellStyle name="Вычисление 2 3 2 2 3 2 2" xfId="19805"/>
    <cellStyle name="Вычисление 2 3 2 2 3 2 3" xfId="22747"/>
    <cellStyle name="Вычисление 2 3 2 2 3 2 4" xfId="20737"/>
    <cellStyle name="Вычисление 2 3 2 2 3 2 5" xfId="20688"/>
    <cellStyle name="Вычисление 2 3 2 2 3 2 6" xfId="22965"/>
    <cellStyle name="Вычисление 2 3 2 2 3 2 7" xfId="21451"/>
    <cellStyle name="Вычисление 2 3 2 2 3 3" xfId="6159"/>
    <cellStyle name="Вычисление 2 3 2 2 3 3 2" xfId="23961"/>
    <cellStyle name="Вычисление 2 3 2 2 3 3 3" xfId="20630"/>
    <cellStyle name="Вычисление 2 3 2 2 3 4" xfId="19004"/>
    <cellStyle name="Вычисление 2 3 2 2 3 4 2" xfId="22412"/>
    <cellStyle name="Вычисление 2 3 2 2 3 5" xfId="23178"/>
    <cellStyle name="Вычисление 2 3 2 2 3 6" xfId="19766"/>
    <cellStyle name="Вычисление 2 3 2 2 3 7" xfId="22200"/>
    <cellStyle name="Вычисление 2 3 2 2 4" xfId="5601"/>
    <cellStyle name="Вычисление 2 3 2 2 4 2" xfId="22132"/>
    <cellStyle name="Вычисление 2 3 2 2 4 3" xfId="22524"/>
    <cellStyle name="Вычисление 2 3 2 2 4 4" xfId="23298"/>
    <cellStyle name="Вычисление 2 3 2 2 4 5" xfId="20945"/>
    <cellStyle name="Вычисление 2 3 2 2 4 6" xfId="21802"/>
    <cellStyle name="Вычисление 2 3 2 2 4 7" xfId="21302"/>
    <cellStyle name="Вычисление 2 3 2 2 5" xfId="5936"/>
    <cellStyle name="Вычисление 2 3 2 2 5 2" xfId="19938"/>
    <cellStyle name="Вычисление 2 3 2 2 5 3" xfId="22859"/>
    <cellStyle name="Вычисление 2 3 2 2 5 4" xfId="20572"/>
    <cellStyle name="Вычисление 2 3 2 2 5 5" xfId="20435"/>
    <cellStyle name="Вычисление 2 3 2 2 5 6" xfId="19527"/>
    <cellStyle name="Вычисление 2 3 2 2 5 7" xfId="21563"/>
    <cellStyle name="Вычисление 2 3 2 2 6" xfId="6271"/>
    <cellStyle name="Вычисление 2 3 2 2 6 2" xfId="24073"/>
    <cellStyle name="Вычисление 2 3 2 2 6 3" xfId="21973"/>
    <cellStyle name="Вычисление 2 3 2 2 7" xfId="19116"/>
    <cellStyle name="Вычисление 2 3 2 2 7 2" xfId="20685"/>
    <cellStyle name="Вычисление 2 3 2 2 8" xfId="21929"/>
    <cellStyle name="Вычисление 2 3 2 2 9" xfId="23501"/>
    <cellStyle name="Вычисление 2 3 2 3" xfId="5421"/>
    <cellStyle name="Вычисление 2 3 2 3 2" xfId="20643"/>
    <cellStyle name="Вычисление 2 3 2 3 3" xfId="22344"/>
    <cellStyle name="Вычисление 2 3 2 3 4" xfId="23275"/>
    <cellStyle name="Вычисление 2 3 2 3 5" xfId="19712"/>
    <cellStyle name="Вычисление 2 3 2 3 6" xfId="19497"/>
    <cellStyle name="Вычисление 2 3 2 3 7" xfId="21227"/>
    <cellStyle name="Вычисление 2 3 2 4" xfId="5756"/>
    <cellStyle name="Вычисление 2 3 2 4 2" xfId="19218"/>
    <cellStyle name="Вычисление 2 3 2 4 3" xfId="22679"/>
    <cellStyle name="Вычисление 2 3 2 4 4" xfId="20815"/>
    <cellStyle name="Вычисление 2 3 2 4 5" xfId="21734"/>
    <cellStyle name="Вычисление 2 3 2 4 6" xfId="22962"/>
    <cellStyle name="Вычисление 2 3 2 4 7" xfId="21383"/>
    <cellStyle name="Вычисление 2 3 2 5" xfId="6091"/>
    <cellStyle name="Вычисление 2 3 2 5 2" xfId="23893"/>
    <cellStyle name="Вычисление 2 3 2 5 3" xfId="19234"/>
    <cellStyle name="Вычисление 2 3 2 6" xfId="18936"/>
    <cellStyle name="Вычисление 2 3 2 6 2" xfId="20600"/>
    <cellStyle name="Вычисление 2 3 2 7" xfId="19661"/>
    <cellStyle name="Вычисление 2 3 2 8" xfId="20143"/>
    <cellStyle name="Вычисление 2 3 2 9" xfId="20639"/>
    <cellStyle name="Вычисление 2 3 3" xfId="3246"/>
    <cellStyle name="Вычисление 2 3 3 10" xfId="19765"/>
    <cellStyle name="Вычисление 2 3 3 2" xfId="5646"/>
    <cellStyle name="Вычисление 2 3 3 2 2" xfId="5981"/>
    <cellStyle name="Вычисление 2 3 3 2 2 2" xfId="20510"/>
    <cellStyle name="Вычисление 2 3 3 2 2 3" xfId="22904"/>
    <cellStyle name="Вычисление 2 3 3 2 2 4" xfId="19769"/>
    <cellStyle name="Вычисление 2 3 3 2 2 5" xfId="23436"/>
    <cellStyle name="Вычисление 2 3 3 2 2 6" xfId="19673"/>
    <cellStyle name="Вычисление 2 3 3 2 2 7" xfId="21608"/>
    <cellStyle name="Вычисление 2 3 3 2 3" xfId="6316"/>
    <cellStyle name="Вычисление 2 3 3 2 3 2" xfId="24118"/>
    <cellStyle name="Вычисление 2 3 3 2 3 3" xfId="22164"/>
    <cellStyle name="Вычисление 2 3 3 2 4" xfId="19161"/>
    <cellStyle name="Вычисление 2 3 3 2 4 2" xfId="22569"/>
    <cellStyle name="Вычисление 2 3 3 2 5" xfId="21792"/>
    <cellStyle name="Вычисление 2 3 3 2 6" xfId="23030"/>
    <cellStyle name="Вычисление 2 3 3 2 7" xfId="22026"/>
    <cellStyle name="Вычисление 2 3 3 3" xfId="5528"/>
    <cellStyle name="Вычисление 2 3 3 3 2" xfId="5863"/>
    <cellStyle name="Вычисление 2 3 3 3 2 2" xfId="20026"/>
    <cellStyle name="Вычисление 2 3 3 3 2 3" xfId="22786"/>
    <cellStyle name="Вычисление 2 3 3 3 2 4" xfId="21838"/>
    <cellStyle name="Вычисление 2 3 3 3 2 5" xfId="20698"/>
    <cellStyle name="Вычисление 2 3 3 3 2 6" xfId="21987"/>
    <cellStyle name="Вычисление 2 3 3 3 2 7" xfId="21490"/>
    <cellStyle name="Вычисление 2 3 3 3 3" xfId="6198"/>
    <cellStyle name="Вычисление 2 3 3 3 3 2" xfId="24000"/>
    <cellStyle name="Вычисление 2 3 3 3 3 3" xfId="21148"/>
    <cellStyle name="Вычисление 2 3 3 3 4" xfId="19043"/>
    <cellStyle name="Вычисление 2 3 3 3 4 2" xfId="22451"/>
    <cellStyle name="Вычисление 2 3 3 3 5" xfId="23104"/>
    <cellStyle name="Вычисление 2 3 3 3 6" xfId="20469"/>
    <cellStyle name="Вычисление 2 3 3 3 7" xfId="22033"/>
    <cellStyle name="Вычисление 2 3 3 4" xfId="5563"/>
    <cellStyle name="Вычисление 2 3 3 4 2" xfId="21741"/>
    <cellStyle name="Вычисление 2 3 3 4 3" xfId="22486"/>
    <cellStyle name="Вычисление 2 3 3 4 4" xfId="19222"/>
    <cellStyle name="Вычисление 2 3 3 4 5" xfId="22094"/>
    <cellStyle name="Вычисление 2 3 3 4 6" xfId="23522"/>
    <cellStyle name="Вычисление 2 3 3 4 7" xfId="21264"/>
    <cellStyle name="Вычисление 2 3 3 5" xfId="5898"/>
    <cellStyle name="Вычисление 2 3 3 5 2" xfId="20727"/>
    <cellStyle name="Вычисление 2 3 3 5 3" xfId="22821"/>
    <cellStyle name="Вычисление 2 3 3 5 4" xfId="21027"/>
    <cellStyle name="Вычисление 2 3 3 5 5" xfId="20206"/>
    <cellStyle name="Вычисление 2 3 3 5 6" xfId="20186"/>
    <cellStyle name="Вычисление 2 3 3 5 7" xfId="21525"/>
    <cellStyle name="Вычисление 2 3 3 6" xfId="6233"/>
    <cellStyle name="Вычисление 2 3 3 6 2" xfId="24035"/>
    <cellStyle name="Вычисление 2 3 3 6 3" xfId="20943"/>
    <cellStyle name="Вычисление 2 3 3 7" xfId="19078"/>
    <cellStyle name="Вычисление 2 3 3 7 2" xfId="20485"/>
    <cellStyle name="Вычисление 2 3 3 8" xfId="21841"/>
    <cellStyle name="Вычисление 2 3 3 9" xfId="20660"/>
    <cellStyle name="Вычисление 2 3 4" xfId="5383"/>
    <cellStyle name="Вычисление 2 3 4 2" xfId="21087"/>
    <cellStyle name="Вычисление 2 3 4 3" xfId="22306"/>
    <cellStyle name="Вычисление 2 3 4 4" xfId="23355"/>
    <cellStyle name="Вычисление 2 3 4 5" xfId="20703"/>
    <cellStyle name="Вычисление 2 3 4 6" xfId="23747"/>
    <cellStyle name="Вычисление 2 3 4 7" xfId="21189"/>
    <cellStyle name="Вычисление 2 3 5" xfId="5718"/>
    <cellStyle name="Вычисление 2 3 5 2" xfId="21990"/>
    <cellStyle name="Вычисление 2 3 5 3" xfId="22641"/>
    <cellStyle name="Вычисление 2 3 5 4" xfId="21655"/>
    <cellStyle name="Вычисление 2 3 5 5" xfId="20784"/>
    <cellStyle name="Вычисление 2 3 5 6" xfId="23751"/>
    <cellStyle name="Вычисление 2 3 5 7" xfId="21345"/>
    <cellStyle name="Вычисление 2 3 6" xfId="6053"/>
    <cellStyle name="Вычисление 2 3 6 2" xfId="23855"/>
    <cellStyle name="Вычисление 2 3 6 3" xfId="20818"/>
    <cellStyle name="Вычисление 2 3 7" xfId="18898"/>
    <cellStyle name="Вычисление 2 3 7 2" xfId="21916"/>
    <cellStyle name="Вычисление 2 3 8" xfId="19503"/>
    <cellStyle name="Вычисление 2 3 9" xfId="20756"/>
    <cellStyle name="Вычисление 2 4" xfId="1192"/>
    <cellStyle name="Вычисление 2 4 2" xfId="3268"/>
    <cellStyle name="Вычисление 2 4 2 10" xfId="22970"/>
    <cellStyle name="Вычисление 2 4 2 2" xfId="5473"/>
    <cellStyle name="Вычисление 2 4 2 2 2" xfId="5808"/>
    <cellStyle name="Вычисление 2 4 2 2 2 2" xfId="21863"/>
    <cellStyle name="Вычисление 2 4 2 2 2 3" xfId="22731"/>
    <cellStyle name="Вычисление 2 4 2 2 2 4" xfId="19270"/>
    <cellStyle name="Вычисление 2 4 2 2 2 5" xfId="19754"/>
    <cellStyle name="Вычисление 2 4 2 2 2 6" xfId="23696"/>
    <cellStyle name="Вычисление 2 4 2 2 2 7" xfId="21435"/>
    <cellStyle name="Вычисление 2 4 2 2 3" xfId="6143"/>
    <cellStyle name="Вычисление 2 4 2 2 3 2" xfId="23945"/>
    <cellStyle name="Вычисление 2 4 2 2 3 3" xfId="20363"/>
    <cellStyle name="Вычисление 2 4 2 2 4" xfId="18988"/>
    <cellStyle name="Вычисление 2 4 2 2 4 2" xfId="22396"/>
    <cellStyle name="Вычисление 2 4 2 2 5" xfId="23208"/>
    <cellStyle name="Вычисление 2 4 2 2 6" xfId="20891"/>
    <cellStyle name="Вычисление 2 4 2 2 7" xfId="20520"/>
    <cellStyle name="Вычисление 2 4 2 3" xfId="5632"/>
    <cellStyle name="Вычисление 2 4 2 3 2" xfId="5967"/>
    <cellStyle name="Вычисление 2 4 2 3 2 2" xfId="20536"/>
    <cellStyle name="Вычисление 2 4 2 3 2 3" xfId="22890"/>
    <cellStyle name="Вычисление 2 4 2 3 2 4" xfId="19489"/>
    <cellStyle name="Вычисление 2 4 2 3 2 5" xfId="23537"/>
    <cellStyle name="Вычисление 2 4 2 3 2 6" xfId="23447"/>
    <cellStyle name="Вычисление 2 4 2 3 2 7" xfId="21594"/>
    <cellStyle name="Вычисление 2 4 2 3 3" xfId="6302"/>
    <cellStyle name="Вычисление 2 4 2 3 3 2" xfId="24104"/>
    <cellStyle name="Вычисление 2 4 2 3 3 3" xfId="22060"/>
    <cellStyle name="Вычисление 2 4 2 3 4" xfId="19147"/>
    <cellStyle name="Вычисление 2 4 2 3 4 2" xfId="22555"/>
    <cellStyle name="Вычисление 2 4 2 3 5" xfId="23173"/>
    <cellStyle name="Вычисление 2 4 2 3 6" xfId="20627"/>
    <cellStyle name="Вычисление 2 4 2 3 7" xfId="23771"/>
    <cellStyle name="Вычисление 2 4 2 4" xfId="5585"/>
    <cellStyle name="Вычисление 2 4 2 4 2" xfId="21022"/>
    <cellStyle name="Вычисление 2 4 2 4 3" xfId="22508"/>
    <cellStyle name="Вычисление 2 4 2 4 4" xfId="23073"/>
    <cellStyle name="Вычисление 2 4 2 4 5" xfId="20324"/>
    <cellStyle name="Вычисление 2 4 2 4 6" xfId="21777"/>
    <cellStyle name="Вычисление 2 4 2 4 7" xfId="21286"/>
    <cellStyle name="Вычисление 2 4 2 5" xfId="5920"/>
    <cellStyle name="Вычисление 2 4 2 5 2" xfId="21048"/>
    <cellStyle name="Вычисление 2 4 2 5 3" xfId="22843"/>
    <cellStyle name="Вычисление 2 4 2 5 4" xfId="22166"/>
    <cellStyle name="Вычисление 2 4 2 5 5" xfId="23068"/>
    <cellStyle name="Вычисление 2 4 2 5 6" xfId="20795"/>
    <cellStyle name="Вычисление 2 4 2 5 7" xfId="21547"/>
    <cellStyle name="Вычисление 2 4 2 6" xfId="6255"/>
    <cellStyle name="Вычисление 2 4 2 6 2" xfId="24057"/>
    <cellStyle name="Вычисление 2 4 2 6 3" xfId="19422"/>
    <cellStyle name="Вычисление 2 4 2 7" xfId="10527"/>
    <cellStyle name="Вычисление 2 4 2 7 2" xfId="24165"/>
    <cellStyle name="Вычисление 2 4 2 7 3" xfId="20204"/>
    <cellStyle name="Вычисление 2 4 2 8" xfId="19100"/>
    <cellStyle name="Вычисление 2 4 2 8 2" xfId="19271"/>
    <cellStyle name="Вычисление 2 4 2 9" xfId="21772"/>
    <cellStyle name="Вычисление 2 4 3" xfId="5405"/>
    <cellStyle name="Вычисление 2 4 3 2" xfId="19824"/>
    <cellStyle name="Вычисление 2 4 3 3" xfId="22328"/>
    <cellStyle name="Вычисление 2 4 3 4" xfId="23177"/>
    <cellStyle name="Вычисление 2 4 3 5" xfId="23056"/>
    <cellStyle name="Вычисление 2 4 3 6" xfId="19392"/>
    <cellStyle name="Вычисление 2 4 3 7" xfId="21211"/>
    <cellStyle name="Вычисление 2 4 4" xfId="5740"/>
    <cellStyle name="Вычисление 2 4 4 2" xfId="21009"/>
    <cellStyle name="Вычисление 2 4 4 3" xfId="22663"/>
    <cellStyle name="Вычисление 2 4 4 4" xfId="20317"/>
    <cellStyle name="Вычисление 2 4 4 5" xfId="19351"/>
    <cellStyle name="Вычисление 2 4 4 6" xfId="20277"/>
    <cellStyle name="Вычисление 2 4 4 7" xfId="21367"/>
    <cellStyle name="Вычисление 2 4 5" xfId="6075"/>
    <cellStyle name="Вычисление 2 4 5 2" xfId="23877"/>
    <cellStyle name="Вычисление 2 4 5 3" xfId="21036"/>
    <cellStyle name="Вычисление 2 4 6" xfId="18920"/>
    <cellStyle name="Вычисление 2 4 6 2" xfId="19740"/>
    <cellStyle name="Вычисление 2 4 7" xfId="20846"/>
    <cellStyle name="Вычисление 2 4 8" xfId="19468"/>
    <cellStyle name="Вычисление 2 4 9" xfId="19338"/>
    <cellStyle name="Вычисление 2 5" xfId="3219"/>
    <cellStyle name="Вычисление 2 5 10" xfId="20561"/>
    <cellStyle name="Вычисление 2 5 2" xfId="5663"/>
    <cellStyle name="Вычисление 2 5 2 2" xfId="5998"/>
    <cellStyle name="Вычисление 2 5 2 2 2" xfId="20365"/>
    <cellStyle name="Вычисление 2 5 2 2 3" xfId="22921"/>
    <cellStyle name="Вычисление 2 5 2 2 4" xfId="23393"/>
    <cellStyle name="Вычисление 2 5 2 2 5" xfId="23265"/>
    <cellStyle name="Вычисление 2 5 2 2 6" xfId="20493"/>
    <cellStyle name="Вычисление 2 5 2 2 7" xfId="21625"/>
    <cellStyle name="Вычисление 2 5 2 3" xfId="6333"/>
    <cellStyle name="Вычисление 2 5 2 3 2" xfId="24135"/>
    <cellStyle name="Вычисление 2 5 2 3 3" xfId="19462"/>
    <cellStyle name="Вычисление 2 5 2 4" xfId="19178"/>
    <cellStyle name="Вычисление 2 5 2 4 2" xfId="22586"/>
    <cellStyle name="Вычисление 2 5 2 5" xfId="23221"/>
    <cellStyle name="Вычисление 2 5 2 6" xfId="21781"/>
    <cellStyle name="Вычисление 2 5 2 7" xfId="20596"/>
    <cellStyle name="Вычисление 2 5 3" xfId="5519"/>
    <cellStyle name="Вычисление 2 5 3 2" xfId="5854"/>
    <cellStyle name="Вычисление 2 5 3 2 2" xfId="19634"/>
    <cellStyle name="Вычисление 2 5 3 2 3" xfId="22777"/>
    <cellStyle name="Вычисление 2 5 3 2 4" xfId="19881"/>
    <cellStyle name="Вычисление 2 5 3 2 5" xfId="21095"/>
    <cellStyle name="Вычисление 2 5 3 2 6" xfId="19570"/>
    <cellStyle name="Вычисление 2 5 3 2 7" xfId="21481"/>
    <cellStyle name="Вычисление 2 5 3 3" xfId="6189"/>
    <cellStyle name="Вычисление 2 5 3 3 2" xfId="23991"/>
    <cellStyle name="Вычисление 2 5 3 3 3" xfId="21974"/>
    <cellStyle name="Вычисление 2 5 3 4" xfId="19034"/>
    <cellStyle name="Вычисление 2 5 3 4 2" xfId="22442"/>
    <cellStyle name="Вычисление 2 5 3 5" xfId="21092"/>
    <cellStyle name="Вычисление 2 5 3 6" xfId="22954"/>
    <cellStyle name="Вычисление 2 5 3 7" xfId="23707"/>
    <cellStyle name="Вычисление 2 5 4" xfId="5443"/>
    <cellStyle name="Вычисление 2 5 4 2" xfId="20025"/>
    <cellStyle name="Вычисление 2 5 4 3" xfId="22366"/>
    <cellStyle name="Вычисление 2 5 4 4" xfId="23283"/>
    <cellStyle name="Вычисление 2 5 4 5" xfId="20251"/>
    <cellStyle name="Вычисление 2 5 4 6" xfId="20145"/>
    <cellStyle name="Вычисление 2 5 4 7" xfId="21249"/>
    <cellStyle name="Вычисление 2 5 5" xfId="5778"/>
    <cellStyle name="Вычисление 2 5 5 2" xfId="20924"/>
    <cellStyle name="Вычисление 2 5 5 3" xfId="22701"/>
    <cellStyle name="Вычисление 2 5 5 4" xfId="23079"/>
    <cellStyle name="Вычисление 2 5 5 5" xfId="20614"/>
    <cellStyle name="Вычисление 2 5 5 6" xfId="19449"/>
    <cellStyle name="Вычисление 2 5 5 7" xfId="21405"/>
    <cellStyle name="Вычисление 2 5 6" xfId="6113"/>
    <cellStyle name="Вычисление 2 5 6 2" xfId="23915"/>
    <cellStyle name="Вычисление 2 5 6 3" xfId="20740"/>
    <cellStyle name="Вычисление 2 5 7" xfId="18958"/>
    <cellStyle name="Вычисление 2 5 7 2" xfId="19800"/>
    <cellStyle name="Вычисление 2 5 8" xfId="20276"/>
    <cellStyle name="Вычисление 2 5 9" xfId="20240"/>
    <cellStyle name="Вычисление 2 6" xfId="3244"/>
    <cellStyle name="Вычисление 2 6 10" xfId="20717"/>
    <cellStyle name="Вычисление 2 6 2" xfId="5543"/>
    <cellStyle name="Вычисление 2 6 2 2" xfId="5878"/>
    <cellStyle name="Вычисление 2 6 2 2 2" xfId="19878"/>
    <cellStyle name="Вычисление 2 6 2 2 3" xfId="22801"/>
    <cellStyle name="Вычисление 2 6 2 2 4" xfId="19556"/>
    <cellStyle name="Вычисление 2 6 2 2 5" xfId="20278"/>
    <cellStyle name="Вычисление 2 6 2 2 6" xfId="20882"/>
    <cellStyle name="Вычисление 2 6 2 2 7" xfId="21505"/>
    <cellStyle name="Вычисление 2 6 2 3" xfId="6213"/>
    <cellStyle name="Вычисление 2 6 2 3 2" xfId="24015"/>
    <cellStyle name="Вычисление 2 6 2 3 3" xfId="21947"/>
    <cellStyle name="Вычисление 2 6 2 4" xfId="19058"/>
    <cellStyle name="Вычисление 2 6 2 4 2" xfId="22466"/>
    <cellStyle name="Вычисление 2 6 2 5" xfId="23179"/>
    <cellStyle name="Вычисление 2 6 2 6" xfId="23487"/>
    <cellStyle name="Вычисление 2 6 2 7" xfId="23708"/>
    <cellStyle name="Вычисление 2 6 3" xfId="5468"/>
    <cellStyle name="Вычисление 2 6 3 2" xfId="5803"/>
    <cellStyle name="Вычисление 2 6 3 2 2" xfId="19375"/>
    <cellStyle name="Вычисление 2 6 3 2 3" xfId="22726"/>
    <cellStyle name="Вычисление 2 6 3 2 4" xfId="20260"/>
    <cellStyle name="Вычисление 2 6 3 2 5" xfId="21077"/>
    <cellStyle name="Вычисление 2 6 3 2 6" xfId="23488"/>
    <cellStyle name="Вычисление 2 6 3 2 7" xfId="21430"/>
    <cellStyle name="Вычисление 2 6 3 3" xfId="6138"/>
    <cellStyle name="Вычисление 2 6 3 3 2" xfId="23940"/>
    <cellStyle name="Вычисление 2 6 3 3 3" xfId="19865"/>
    <cellStyle name="Вычисление 2 6 3 4" xfId="18983"/>
    <cellStyle name="Вычисление 2 6 3 4 2" xfId="22391"/>
    <cellStyle name="Вычисление 2 6 3 5" xfId="23078"/>
    <cellStyle name="Вычисление 2 6 3 6" xfId="22981"/>
    <cellStyle name="Вычисление 2 6 3 7" xfId="20070"/>
    <cellStyle name="Вычисление 2 6 4" xfId="5561"/>
    <cellStyle name="Вычисление 2 6 4 2" xfId="20782"/>
    <cellStyle name="Вычисление 2 6 4 3" xfId="22484"/>
    <cellStyle name="Вычисление 2 6 4 4" xfId="23048"/>
    <cellStyle name="Вычисление 2 6 4 5" xfId="19622"/>
    <cellStyle name="Вычисление 2 6 4 6" xfId="20519"/>
    <cellStyle name="Вычисление 2 6 4 7" xfId="21262"/>
    <cellStyle name="Вычисление 2 6 5" xfId="5896"/>
    <cellStyle name="Вычисление 2 6 5 2" xfId="20467"/>
    <cellStyle name="Вычисление 2 6 5 3" xfId="22819"/>
    <cellStyle name="Вычисление 2 6 5 4" xfId="20508"/>
    <cellStyle name="Вычисление 2 6 5 5" xfId="20823"/>
    <cellStyle name="Вычисление 2 6 5 6" xfId="23666"/>
    <cellStyle name="Вычисление 2 6 5 7" xfId="21523"/>
    <cellStyle name="Вычисление 2 6 6" xfId="6231"/>
    <cellStyle name="Вычисление 2 6 6 2" xfId="24033"/>
    <cellStyle name="Вычисление 2 6 6 3" xfId="21153"/>
    <cellStyle name="Вычисление 2 6 7" xfId="19076"/>
    <cellStyle name="Вычисление 2 6 7 2" xfId="21718"/>
    <cellStyle name="Вычисление 2 6 8" xfId="19448"/>
    <cellStyle name="Вычисление 2 6 9" xfId="20259"/>
    <cellStyle name="Вычисление 2 7" xfId="5362"/>
    <cellStyle name="Вычисление 2 7 2" xfId="21918"/>
    <cellStyle name="Вычисление 2 7 3" xfId="22285"/>
    <cellStyle name="Вычисление 2 7 4" xfId="23285"/>
    <cellStyle name="Вычисление 2 7 5" xfId="23472"/>
    <cellStyle name="Вычисление 2 7 6" xfId="23750"/>
    <cellStyle name="Вычисление 2 7 7" xfId="21168"/>
    <cellStyle name="Вычисление 2 8" xfId="5697"/>
    <cellStyle name="Вычисление 2 8 2" xfId="19920"/>
    <cellStyle name="Вычисление 2 8 3" xfId="22620"/>
    <cellStyle name="Вычисление 2 8 4" xfId="23160"/>
    <cellStyle name="Вычисление 2 8 5" xfId="20568"/>
    <cellStyle name="Вычисление 2 8 6" xfId="23035"/>
    <cellStyle name="Вычисление 2 8 7" xfId="21324"/>
    <cellStyle name="Вычисление 2 9" xfId="6032"/>
    <cellStyle name="Вычисление 2 9 2" xfId="23834"/>
    <cellStyle name="Вычисление 2 9 3" xfId="20778"/>
    <cellStyle name="Вычисление 3" xfId="128"/>
    <cellStyle name="Вычисление 3 10" xfId="20518"/>
    <cellStyle name="Вычисление 3 11" xfId="22263"/>
    <cellStyle name="Вычисление 3 12" xfId="20356"/>
    <cellStyle name="Вычисление 3 2" xfId="649"/>
    <cellStyle name="Вычисление 3 2 10" xfId="19874"/>
    <cellStyle name="Вычисление 3 2 11" xfId="23343"/>
    <cellStyle name="Вычисление 3 2 12" xfId="20464"/>
    <cellStyle name="Вычисление 3 2 2" xfId="1784"/>
    <cellStyle name="Вычисление 3 2 2 2" xfId="3296"/>
    <cellStyle name="Вычисление 3 2 2 2 10" xfId="20794"/>
    <cellStyle name="Вычисление 3 2 2 2 2" xfId="5492"/>
    <cellStyle name="Вычисление 3 2 2 2 2 2" xfId="5827"/>
    <cellStyle name="Вычисление 3 2 2 2 2 2 2" xfId="21839"/>
    <cellStyle name="Вычисление 3 2 2 2 2 2 3" xfId="22750"/>
    <cellStyle name="Вычисление 3 2 2 2 2 2 4" xfId="19834"/>
    <cellStyle name="Вычисление 3 2 2 2 2 2 5" xfId="20461"/>
    <cellStyle name="Вычисление 3 2 2 2 2 2 6" xfId="23610"/>
    <cellStyle name="Вычисление 3 2 2 2 2 2 7" xfId="21454"/>
    <cellStyle name="Вычисление 3 2 2 2 2 3" xfId="6162"/>
    <cellStyle name="Вычисление 3 2 2 2 2 3 2" xfId="23964"/>
    <cellStyle name="Вычисление 3 2 2 2 2 3 3" xfId="22044"/>
    <cellStyle name="Вычисление 3 2 2 2 2 4" xfId="19007"/>
    <cellStyle name="Вычисление 3 2 2 2 2 4 2" xfId="22415"/>
    <cellStyle name="Вычисление 3 2 2 2 2 5" xfId="21762"/>
    <cellStyle name="Вычисление 3 2 2 2 2 6" xfId="23099"/>
    <cellStyle name="Вычисление 3 2 2 2 2 7" xfId="23745"/>
    <cellStyle name="Вычисление 3 2 2 2 3" xfId="5456"/>
    <cellStyle name="Вычисление 3 2 2 2 3 2" xfId="5791"/>
    <cellStyle name="Вычисление 3 2 2 2 3 2 2" xfId="20020"/>
    <cellStyle name="Вычисление 3 2 2 2 3 2 3" xfId="22714"/>
    <cellStyle name="Вычисление 3 2 2 2 3 2 4" xfId="20904"/>
    <cellStyle name="Вычисление 3 2 2 2 3 2 5" xfId="23140"/>
    <cellStyle name="Вычисление 3 2 2 2 3 2 6" xfId="19963"/>
    <cellStyle name="Вычисление 3 2 2 2 3 2 7" xfId="21418"/>
    <cellStyle name="Вычисление 3 2 2 2 3 3" xfId="6126"/>
    <cellStyle name="Вычисление 3 2 2 2 3 3 2" xfId="23928"/>
    <cellStyle name="Вычисление 3 2 2 2 3 3 3" xfId="21983"/>
    <cellStyle name="Вычисление 3 2 2 2 3 4" xfId="18971"/>
    <cellStyle name="Вычисление 3 2 2 2 3 4 2" xfId="22379"/>
    <cellStyle name="Вычисление 3 2 2 2 3 5" xfId="23137"/>
    <cellStyle name="Вычисление 3 2 2 2 3 6" xfId="23584"/>
    <cellStyle name="Вычисление 3 2 2 2 3 7" xfId="19582"/>
    <cellStyle name="Вычисление 3 2 2 2 4" xfId="5613"/>
    <cellStyle name="Вычисление 3 2 2 2 4 2" xfId="19552"/>
    <cellStyle name="Вычисление 3 2 2 2 4 3" xfId="22536"/>
    <cellStyle name="Вычисление 3 2 2 2 4 4" xfId="23284"/>
    <cellStyle name="Вычисление 3 2 2 2 4 5" xfId="21016"/>
    <cellStyle name="Вычисление 3 2 2 2 4 6" xfId="23651"/>
    <cellStyle name="Вычисление 3 2 2 2 4 7" xfId="21314"/>
    <cellStyle name="Вычисление 3 2 2 2 5" xfId="5948"/>
    <cellStyle name="Вычисление 3 2 2 2 5 2" xfId="19954"/>
    <cellStyle name="Вычисление 3 2 2 2 5 3" xfId="22871"/>
    <cellStyle name="Вычисление 3 2 2 2 5 4" xfId="19408"/>
    <cellStyle name="Вычисление 3 2 2 2 5 5" xfId="19577"/>
    <cellStyle name="Вычисление 3 2 2 2 5 6" xfId="21688"/>
    <cellStyle name="Вычисление 3 2 2 2 5 7" xfId="21575"/>
    <cellStyle name="Вычисление 3 2 2 2 6" xfId="6283"/>
    <cellStyle name="Вычисление 3 2 2 2 6 2" xfId="24085"/>
    <cellStyle name="Вычисление 3 2 2 2 6 3" xfId="19493"/>
    <cellStyle name="Вычисление 3 2 2 2 7" xfId="19128"/>
    <cellStyle name="Вычисление 3 2 2 2 7 2" xfId="19293"/>
    <cellStyle name="Вычисление 3 2 2 2 8" xfId="21676"/>
    <cellStyle name="Вычисление 3 2 2 2 9" xfId="19412"/>
    <cellStyle name="Вычисление 3 2 2 3" xfId="5433"/>
    <cellStyle name="Вычисление 3 2 2 3 2" xfId="20213"/>
    <cellStyle name="Вычисление 3 2 2 3 3" xfId="22356"/>
    <cellStyle name="Вычисление 3 2 2 3 4" xfId="23159"/>
    <cellStyle name="Вычисление 3 2 2 3 5" xfId="21970"/>
    <cellStyle name="Вычисление 3 2 2 3 6" xfId="19350"/>
    <cellStyle name="Вычисление 3 2 2 3 7" xfId="21239"/>
    <cellStyle name="Вычисление 3 2 2 4" xfId="5768"/>
    <cellStyle name="Вычисление 3 2 2 4 2" xfId="19817"/>
    <cellStyle name="Вычисление 3 2 2 4 3" xfId="22691"/>
    <cellStyle name="Вычисление 3 2 2 4 4" xfId="21057"/>
    <cellStyle name="Вычисление 3 2 2 4 5" xfId="20715"/>
    <cellStyle name="Вычисление 3 2 2 4 6" xfId="20773"/>
    <cellStyle name="Вычисление 3 2 2 4 7" xfId="21395"/>
    <cellStyle name="Вычисление 3 2 2 5" xfId="6103"/>
    <cellStyle name="Вычисление 3 2 2 5 2" xfId="23905"/>
    <cellStyle name="Вычисление 3 2 2 5 3" xfId="19480"/>
    <cellStyle name="Вычисление 3 2 2 6" xfId="18948"/>
    <cellStyle name="Вычисление 3 2 2 6 2" xfId="19479"/>
    <cellStyle name="Вычисление 3 2 2 7" xfId="19586"/>
    <cellStyle name="Вычисление 3 2 2 8" xfId="23319"/>
    <cellStyle name="Вычисление 3 2 2 9" xfId="22216"/>
    <cellStyle name="Вычисление 3 2 3" xfId="3210"/>
    <cellStyle name="Вычисление 3 2 3 10" xfId="19510"/>
    <cellStyle name="Вычисление 3 2 3 2" xfId="5651"/>
    <cellStyle name="Вычисление 3 2 3 2 2" xfId="5986"/>
    <cellStyle name="Вычисление 3 2 3 2 2 2" xfId="21065"/>
    <cellStyle name="Вычисление 3 2 3 2 2 3" xfId="22909"/>
    <cellStyle name="Вычисление 3 2 3 2 2 4" xfId="19244"/>
    <cellStyle name="Вычисление 3 2 3 2 2 5" xfId="23059"/>
    <cellStyle name="Вычисление 3 2 3 2 2 6" xfId="20617"/>
    <cellStyle name="Вычисление 3 2 3 2 2 7" xfId="21613"/>
    <cellStyle name="Вычисление 3 2 3 2 3" xfId="6321"/>
    <cellStyle name="Вычисление 3 2 3 2 3 2" xfId="24123"/>
    <cellStyle name="Вычисление 3 2 3 2 3 3" xfId="22045"/>
    <cellStyle name="Вычисление 3 2 3 2 4" xfId="19166"/>
    <cellStyle name="Вычисление 3 2 3 2 4 2" xfId="22574"/>
    <cellStyle name="Вычисление 3 2 3 2 5" xfId="23258"/>
    <cellStyle name="Вычисление 3 2 3 2 6" xfId="19879"/>
    <cellStyle name="Вычисление 3 2 3 2 7" xfId="23796"/>
    <cellStyle name="Вычисление 3 2 3 3" xfId="5689"/>
    <cellStyle name="Вычисление 3 2 3 3 2" xfId="6024"/>
    <cellStyle name="Вычисление 3 2 3 3 2 2" xfId="19785"/>
    <cellStyle name="Вычисление 3 2 3 3 2 3" xfId="22947"/>
    <cellStyle name="Вычисление 3 2 3 3 2 4" xfId="23419"/>
    <cellStyle name="Вычисление 3 2 3 3 2 5" xfId="23645"/>
    <cellStyle name="Вычисление 3 2 3 3 2 6" xfId="20958"/>
    <cellStyle name="Вычисление 3 2 3 3 2 7" xfId="21651"/>
    <cellStyle name="Вычисление 3 2 3 3 3" xfId="6359"/>
    <cellStyle name="Вычисление 3 2 3 3 3 2" xfId="24161"/>
    <cellStyle name="Вычисление 3 2 3 3 3 3" xfId="21742"/>
    <cellStyle name="Вычисление 3 2 3 3 4" xfId="19204"/>
    <cellStyle name="Вычисление 3 2 3 3 4 2" xfId="22612"/>
    <cellStyle name="Вычисление 3 2 3 3 5" xfId="23293"/>
    <cellStyle name="Вычисление 3 2 3 3 6" xfId="21042"/>
    <cellStyle name="Вычисление 3 2 3 3 7" xfId="19718"/>
    <cellStyle name="Вычисление 3 2 3 4" xfId="5395"/>
    <cellStyle name="Вычисление 3 2 3 4 2" xfId="21892"/>
    <cellStyle name="Вычисление 3 2 3 4 3" xfId="22318"/>
    <cellStyle name="Вычисление 3 2 3 4 4" xfId="23349"/>
    <cellStyle name="Вычисление 3 2 3 4 5" xfId="20550"/>
    <cellStyle name="Вычисление 3 2 3 4 6" xfId="23777"/>
    <cellStyle name="Вычисление 3 2 3 4 7" xfId="21201"/>
    <cellStyle name="Вычисление 3 2 3 5" xfId="5730"/>
    <cellStyle name="Вычисление 3 2 3 5 2" xfId="20299"/>
    <cellStyle name="Вычисление 3 2 3 5 3" xfId="22653"/>
    <cellStyle name="Вычисление 3 2 3 5 4" xfId="20752"/>
    <cellStyle name="Вычисление 3 2 3 5 5" xfId="21686"/>
    <cellStyle name="Вычисление 3 2 3 5 6" xfId="19759"/>
    <cellStyle name="Вычисление 3 2 3 5 7" xfId="21357"/>
    <cellStyle name="Вычисление 3 2 3 6" xfId="6065"/>
    <cellStyle name="Вычисление 3 2 3 6 2" xfId="23867"/>
    <cellStyle name="Вычисление 3 2 3 6 3" xfId="21700"/>
    <cellStyle name="Вычисление 3 2 3 7" xfId="18910"/>
    <cellStyle name="Вычисление 3 2 3 7 2" xfId="21149"/>
    <cellStyle name="Вычисление 3 2 3 8" xfId="21817"/>
    <cellStyle name="Вычисление 3 2 3 9" xfId="19967"/>
    <cellStyle name="Вычисление 3 2 4" xfId="2851"/>
    <cellStyle name="Вычисление 3 2 4 10" xfId="23697"/>
    <cellStyle name="Вычисление 3 2 4 2" xfId="5454"/>
    <cellStyle name="Вычисление 3 2 4 2 2" xfId="5789"/>
    <cellStyle name="Вычисление 3 2 4 2 2 2" xfId="20205"/>
    <cellStyle name="Вычисление 3 2 4 2 2 3" xfId="22712"/>
    <cellStyle name="Вычисление 3 2 4 2 2 4" xfId="21749"/>
    <cellStyle name="Вычисление 3 2 4 2 2 5" xfId="20730"/>
    <cellStyle name="Вычисление 3 2 4 2 2 6" xfId="19250"/>
    <cellStyle name="Вычисление 3 2 4 2 2 7" xfId="21416"/>
    <cellStyle name="Вычисление 3 2 4 2 3" xfId="6124"/>
    <cellStyle name="Вычисление 3 2 4 2 3 2" xfId="23926"/>
    <cellStyle name="Вычисление 3 2 4 2 3 3" xfId="19844"/>
    <cellStyle name="Вычисление 3 2 4 2 4" xfId="18969"/>
    <cellStyle name="Вычисление 3 2 4 2 4 2" xfId="22377"/>
    <cellStyle name="Вычисление 3 2 4 2 5" xfId="23021"/>
    <cellStyle name="Вычисление 3 2 4 2 6" xfId="19233"/>
    <cellStyle name="Вычисление 3 2 4 2 7" xfId="23812"/>
    <cellStyle name="Вычисление 3 2 4 3" xfId="5674"/>
    <cellStyle name="Вычисление 3 2 4 3 2" xfId="6009"/>
    <cellStyle name="Вычисление 3 2 4 3 2 2" xfId="19612"/>
    <cellStyle name="Вычисление 3 2 4 3 2 3" xfId="22932"/>
    <cellStyle name="Вычисление 3 2 4 3 2 4" xfId="23404"/>
    <cellStyle name="Вычисление 3 2 4 3 2 5" xfId="20743"/>
    <cellStyle name="Вычисление 3 2 4 3 2 6" xfId="19309"/>
    <cellStyle name="Вычисление 3 2 4 3 2 7" xfId="21636"/>
    <cellStyle name="Вычисление 3 2 4 3 3" xfId="6344"/>
    <cellStyle name="Вычисление 3 2 4 3 3 2" xfId="24146"/>
    <cellStyle name="Вычисление 3 2 4 3 3 3" xfId="20957"/>
    <cellStyle name="Вычисление 3 2 4 3 4" xfId="19189"/>
    <cellStyle name="Вычисление 3 2 4 3 4 2" xfId="22597"/>
    <cellStyle name="Вычисление 3 2 4 3 5" xfId="23010"/>
    <cellStyle name="Вычисление 3 2 4 3 6" xfId="19303"/>
    <cellStyle name="Вычисление 3 2 4 3 7" xfId="19735"/>
    <cellStyle name="Вычисление 3 2 4 4" xfId="5439"/>
    <cellStyle name="Вычисление 3 2 4 4 2" xfId="21953"/>
    <cellStyle name="Вычисление 3 2 4 4 3" xfId="22362"/>
    <cellStyle name="Вычисление 3 2 4 4 4" xfId="23309"/>
    <cellStyle name="Вычисление 3 2 4 4 5" xfId="20701"/>
    <cellStyle name="Вычисление 3 2 4 4 6" xfId="23762"/>
    <cellStyle name="Вычисление 3 2 4 4 7" xfId="21245"/>
    <cellStyle name="Вычисление 3 2 4 5" xfId="5774"/>
    <cellStyle name="Вычисление 3 2 4 5 2" xfId="21702"/>
    <cellStyle name="Вычисление 3 2 4 5 3" xfId="22697"/>
    <cellStyle name="Вычисление 3 2 4 5 4" xfId="23107"/>
    <cellStyle name="Вычисление 3 2 4 5 5" xfId="21796"/>
    <cellStyle name="Вычисление 3 2 4 5 6" xfId="20832"/>
    <cellStyle name="Вычисление 3 2 4 5 7" xfId="21401"/>
    <cellStyle name="Вычисление 3 2 4 6" xfId="6109"/>
    <cellStyle name="Вычисление 3 2 4 6 2" xfId="23911"/>
    <cellStyle name="Вычисление 3 2 4 6 3" xfId="22063"/>
    <cellStyle name="Вычисление 3 2 4 7" xfId="18954"/>
    <cellStyle name="Вычисление 3 2 4 7 2" xfId="20802"/>
    <cellStyle name="Вычисление 3 2 4 8" xfId="19733"/>
    <cellStyle name="Вычисление 3 2 4 9" xfId="21769"/>
    <cellStyle name="Вычисление 3 2 5" xfId="3258"/>
    <cellStyle name="Вычисление 3 2 5 10" xfId="23624"/>
    <cellStyle name="Вычисление 3 2 5 2" xfId="5542"/>
    <cellStyle name="Вычисление 3 2 5 2 2" xfId="5877"/>
    <cellStyle name="Вычисление 3 2 5 2 2 2" xfId="19431"/>
    <cellStyle name="Вычисление 3 2 5 2 2 3" xfId="22800"/>
    <cellStyle name="Вычисление 3 2 5 2 2 4" xfId="22238"/>
    <cellStyle name="Вычисление 3 2 5 2 2 5" xfId="21076"/>
    <cellStyle name="Вычисление 3 2 5 2 2 6" xfId="20481"/>
    <cellStyle name="Вычисление 3 2 5 2 2 7" xfId="21504"/>
    <cellStyle name="Вычисление 3 2 5 2 3" xfId="6212"/>
    <cellStyle name="Вычисление 3 2 5 2 3 2" xfId="24014"/>
    <cellStyle name="Вычисление 3 2 5 2 3 3" xfId="19973"/>
    <cellStyle name="Вычисление 3 2 5 2 4" xfId="19057"/>
    <cellStyle name="Вычисление 3 2 5 2 4 2" xfId="22465"/>
    <cellStyle name="Вычисление 3 2 5 2 5" xfId="23377"/>
    <cellStyle name="Вычисление 3 2 5 2 6" xfId="21157"/>
    <cellStyle name="Вычисление 3 2 5 2 7" xfId="19835"/>
    <cellStyle name="Вычисление 3 2 5 3" xfId="5642"/>
    <cellStyle name="Вычисление 3 2 5 3 2" xfId="5977"/>
    <cellStyle name="Вычисление 3 2 5 3 2 2" xfId="20624"/>
    <cellStyle name="Вычисление 3 2 5 3 2 3" xfId="22900"/>
    <cellStyle name="Вычисление 3 2 5 3 2 4" xfId="20339"/>
    <cellStyle name="Вычисление 3 2 5 3 2 5" xfId="23268"/>
    <cellStyle name="Вычисление 3 2 5 3 2 6" xfId="20295"/>
    <cellStyle name="Вычисление 3 2 5 3 2 7" xfId="21604"/>
    <cellStyle name="Вычисление 3 2 5 3 3" xfId="6312"/>
    <cellStyle name="Вычисление 3 2 5 3 3 2" xfId="24114"/>
    <cellStyle name="Вычисление 3 2 5 3 3 3" xfId="22159"/>
    <cellStyle name="Вычисление 3 2 5 3 4" xfId="19157"/>
    <cellStyle name="Вычисление 3 2 5 3 4 2" xfId="22565"/>
    <cellStyle name="Вычисление 3 2 5 3 5" xfId="23363"/>
    <cellStyle name="Вычисление 3 2 5 3 6" xfId="23236"/>
    <cellStyle name="Вычисление 3 2 5 3 7" xfId="20021"/>
    <cellStyle name="Вычисление 3 2 5 4" xfId="5575"/>
    <cellStyle name="Вычисление 3 2 5 4 2" xfId="22034"/>
    <cellStyle name="Вычисление 3 2 5 4 3" xfId="22498"/>
    <cellStyle name="Вычисление 3 2 5 4 4" xfId="23281"/>
    <cellStyle name="Вычисление 3 2 5 4 5" xfId="23297"/>
    <cellStyle name="Вычисление 3 2 5 4 6" xfId="23737"/>
    <cellStyle name="Вычисление 3 2 5 4 7" xfId="21276"/>
    <cellStyle name="Вычисление 3 2 5 5" xfId="5910"/>
    <cellStyle name="Вычисление 3 2 5 5 2" xfId="20973"/>
    <cellStyle name="Вычисление 3 2 5 5 3" xfId="22833"/>
    <cellStyle name="Вычисление 3 2 5 5 4" xfId="20886"/>
    <cellStyle name="Вычисление 3 2 5 5 5" xfId="23326"/>
    <cellStyle name="Вычисление 3 2 5 5 6" xfId="23576"/>
    <cellStyle name="Вычисление 3 2 5 5 7" xfId="21537"/>
    <cellStyle name="Вычисление 3 2 5 6" xfId="6245"/>
    <cellStyle name="Вычисление 3 2 5 6 2" xfId="24047"/>
    <cellStyle name="Вычисление 3 2 5 6 3" xfId="20524"/>
    <cellStyle name="Вычисление 3 2 5 7" xfId="19090"/>
    <cellStyle name="Вычисление 3 2 5 7 2" xfId="19540"/>
    <cellStyle name="Вычисление 3 2 5 8" xfId="19827"/>
    <cellStyle name="Вычисление 3 2 5 9" xfId="20901"/>
    <cellStyle name="Вычисление 3 2 6" xfId="5371"/>
    <cellStyle name="Вычисление 3 2 6 2" xfId="19653"/>
    <cellStyle name="Вычисление 3 2 6 3" xfId="22294"/>
    <cellStyle name="Вычисление 3 2 6 4" xfId="20839"/>
    <cellStyle name="Вычисление 3 2 6 5" xfId="22255"/>
    <cellStyle name="Вычисление 3 2 6 6" xfId="23821"/>
    <cellStyle name="Вычисление 3 2 6 7" xfId="21177"/>
    <cellStyle name="Вычисление 3 2 7" xfId="5706"/>
    <cellStyle name="Вычисление 3 2 7 2" xfId="19957"/>
    <cellStyle name="Вычисление 3 2 7 3" xfId="22629"/>
    <cellStyle name="Вычисление 3 2 7 4" xfId="22210"/>
    <cellStyle name="Вычисление 3 2 7 5" xfId="21080"/>
    <cellStyle name="Вычисление 3 2 7 6" xfId="20710"/>
    <cellStyle name="Вычисление 3 2 7 7" xfId="21333"/>
    <cellStyle name="Вычисление 3 2 8" xfId="6041"/>
    <cellStyle name="Вычисление 3 2 8 2" xfId="23843"/>
    <cellStyle name="Вычисление 3 2 8 3" xfId="19212"/>
    <cellStyle name="Вычисление 3 2 9" xfId="18886"/>
    <cellStyle name="Вычисление 3 2 9 2" xfId="19383"/>
    <cellStyle name="Вычисление 3 3" xfId="1194"/>
    <cellStyle name="Вычисление 3 3 2" xfId="3270"/>
    <cellStyle name="Вычисление 3 3 2 10" xfId="20595"/>
    <cellStyle name="Вычисление 3 3 2 2" xfId="5656"/>
    <cellStyle name="Вычисление 3 3 2 2 2" xfId="5991"/>
    <cellStyle name="Вычисление 3 3 2 2 2 2" xfId="20391"/>
    <cellStyle name="Вычисление 3 3 2 2 2 3" xfId="22914"/>
    <cellStyle name="Вычисление 3 3 2 2 2 4" xfId="21089"/>
    <cellStyle name="Вычисление 3 3 2 2 2 5" xfId="19934"/>
    <cellStyle name="Вычисление 3 3 2 2 2 6" xfId="23254"/>
    <cellStyle name="Вычисление 3 3 2 2 2 7" xfId="21618"/>
    <cellStyle name="Вычисление 3 3 2 2 3" xfId="6326"/>
    <cellStyle name="Вычисление 3 3 2 2 3 2" xfId="24128"/>
    <cellStyle name="Вычисление 3 3 2 2 3 3" xfId="19889"/>
    <cellStyle name="Вычисление 3 3 2 2 4" xfId="19171"/>
    <cellStyle name="Вычисление 3 3 2 2 4 2" xfId="22579"/>
    <cellStyle name="Вычисление 3 3 2 2 5" xfId="23200"/>
    <cellStyle name="Вычисление 3 3 2 2 6" xfId="23456"/>
    <cellStyle name="Вычисление 3 3 2 2 7" xfId="23773"/>
    <cellStyle name="Вычисление 3 3 2 3" xfId="5507"/>
    <cellStyle name="Вычисление 3 3 2 3 2" xfId="5842"/>
    <cellStyle name="Вычисление 3 3 2 3 2 2" xfId="19836"/>
    <cellStyle name="Вычисление 3 3 2 3 2 3" xfId="22765"/>
    <cellStyle name="Вычисление 3 3 2 3 2 4" xfId="22003"/>
    <cellStyle name="Вычисление 3 3 2 3 2 5" xfId="23006"/>
    <cellStyle name="Вычисление 3 3 2 3 2 6" xfId="23154"/>
    <cellStyle name="Вычисление 3 3 2 3 2 7" xfId="21469"/>
    <cellStyle name="Вычисление 3 3 2 3 3" xfId="6177"/>
    <cellStyle name="Вычисление 3 3 2 3 3 2" xfId="23979"/>
    <cellStyle name="Вычисление 3 3 2 3 3 3" xfId="19722"/>
    <cellStyle name="Вычисление 3 3 2 3 4" xfId="19022"/>
    <cellStyle name="Вычисление 3 3 2 3 4 2" xfId="22430"/>
    <cellStyle name="Вычисление 3 3 2 3 5" xfId="23183"/>
    <cellStyle name="Вычисление 3 3 2 3 6" xfId="19533"/>
    <cellStyle name="Вычисление 3 3 2 3 7" xfId="23685"/>
    <cellStyle name="Вычисление 3 3 2 4" xfId="5587"/>
    <cellStyle name="Вычисление 3 3 2 4 2" xfId="20588"/>
    <cellStyle name="Вычисление 3 3 2 4 3" xfId="22510"/>
    <cellStyle name="Вычисление 3 3 2 4 4" xfId="23220"/>
    <cellStyle name="Вычисление 3 3 2 4 5" xfId="19321"/>
    <cellStyle name="Вычисление 3 3 2 4 6" xfId="22190"/>
    <cellStyle name="Вычисление 3 3 2 4 7" xfId="21288"/>
    <cellStyle name="Вычисление 3 3 2 5" xfId="5922"/>
    <cellStyle name="Вычисление 3 3 2 5 2" xfId="19662"/>
    <cellStyle name="Вычисление 3 3 2 5 3" xfId="22845"/>
    <cellStyle name="Вычисление 3 3 2 5 4" xfId="20398"/>
    <cellStyle name="Вычисление 3 3 2 5 5" xfId="21158"/>
    <cellStyle name="Вычисление 3 3 2 5 6" xfId="19308"/>
    <cellStyle name="Вычисление 3 3 2 5 7" xfId="21549"/>
    <cellStyle name="Вычисление 3 3 2 6" xfId="6257"/>
    <cellStyle name="Вычисление 3 3 2 6 2" xfId="24059"/>
    <cellStyle name="Вычисление 3 3 2 6 3" xfId="19986"/>
    <cellStyle name="Вычисление 3 3 2 7" xfId="19102"/>
    <cellStyle name="Вычисление 3 3 2 7 2" xfId="20237"/>
    <cellStyle name="Вычисление 3 3 2 8" xfId="19492"/>
    <cellStyle name="Вычисление 3 3 2 9" xfId="23424"/>
    <cellStyle name="Вычисление 3 3 3" xfId="5407"/>
    <cellStyle name="Вычисление 3 3 3 2" xfId="21878"/>
    <cellStyle name="Вычисление 3 3 3 3" xfId="22330"/>
    <cellStyle name="Вычисление 3 3 3 4" xfId="23215"/>
    <cellStyle name="Вычисление 3 3 3 5" xfId="22113"/>
    <cellStyle name="Вычисление 3 3 3 6" xfId="23716"/>
    <cellStyle name="Вычисление 3 3 3 7" xfId="21213"/>
    <cellStyle name="Вычисление 3 3 4" xfId="5742"/>
    <cellStyle name="Вычисление 3 3 4 2" xfId="21815"/>
    <cellStyle name="Вычисление 3 3 4 3" xfId="22665"/>
    <cellStyle name="Вычисление 3 3 4 4" xfId="20388"/>
    <cellStyle name="Вычисление 3 3 4 5" xfId="19359"/>
    <cellStyle name="Вычисление 3 3 4 6" xfId="19697"/>
    <cellStyle name="Вычисление 3 3 4 7" xfId="21369"/>
    <cellStyle name="Вычисление 3 3 5" xfId="6077"/>
    <cellStyle name="Вычисление 3 3 5 2" xfId="23879"/>
    <cellStyle name="Вычисление 3 3 5 3" xfId="20507"/>
    <cellStyle name="Вычисление 3 3 6" xfId="18922"/>
    <cellStyle name="Вычисление 3 3 6 2" xfId="20112"/>
    <cellStyle name="Вычисление 3 3 7" xfId="21813"/>
    <cellStyle name="Вычисление 3 3 8" xfId="20187"/>
    <cellStyle name="Вычисление 3 3 9" xfId="20056"/>
    <cellStyle name="Вычисление 3 4" xfId="1727"/>
    <cellStyle name="Вычисление 3 4 2" xfId="3285"/>
    <cellStyle name="Вычисление 3 4 2 10" xfId="22230"/>
    <cellStyle name="Вычисление 3 4 2 2" xfId="5653"/>
    <cellStyle name="Вычисление 3 4 2 2 2" xfId="5988"/>
    <cellStyle name="Вычисление 3 4 2 2 2 2" xfId="19642"/>
    <cellStyle name="Вычисление 3 4 2 2 2 3" xfId="22911"/>
    <cellStyle name="Вычисление 3 4 2 2 2 4" xfId="19357"/>
    <cellStyle name="Вычисление 3 4 2 2 2 5" xfId="19929"/>
    <cellStyle name="Вычисление 3 4 2 2 2 6" xfId="21827"/>
    <cellStyle name="Вычисление 3 4 2 2 2 7" xfId="21615"/>
    <cellStyle name="Вычисление 3 4 2 2 3" xfId="6323"/>
    <cellStyle name="Вычисление 3 4 2 2 3 2" xfId="24125"/>
    <cellStyle name="Вычисление 3 4 2 2 3 3" xfId="22050"/>
    <cellStyle name="Вычисление 3 4 2 2 4" xfId="19168"/>
    <cellStyle name="Вычисление 3 4 2 2 4 2" xfId="22576"/>
    <cellStyle name="Вычисление 3 4 2 2 5" xfId="23252"/>
    <cellStyle name="Вычисление 3 4 2 2 6" xfId="19374"/>
    <cellStyle name="Вычисление 3 4 2 2 7" xfId="23772"/>
    <cellStyle name="Вычисление 3 4 2 3" xfId="5654"/>
    <cellStyle name="Вычисление 3 4 2 3 2" xfId="5989"/>
    <cellStyle name="Вычисление 3 4 2 3 2 2" xfId="20385"/>
    <cellStyle name="Вычисление 3 4 2 3 2 3" xfId="22912"/>
    <cellStyle name="Вычисление 3 4 2 3 2 4" xfId="20139"/>
    <cellStyle name="Вычисление 3 4 2 3 2 5" xfId="21012"/>
    <cellStyle name="Вычисление 3 4 2 3 2 6" xfId="23045"/>
    <cellStyle name="Вычисление 3 4 2 3 2 7" xfId="21616"/>
    <cellStyle name="Вычисление 3 4 2 3 3" xfId="6324"/>
    <cellStyle name="Вычисление 3 4 2 3 3 2" xfId="24126"/>
    <cellStyle name="Вычисление 3 4 2 3 3 3" xfId="21056"/>
    <cellStyle name="Вычисление 3 4 2 3 4" xfId="19169"/>
    <cellStyle name="Вычисление 3 4 2 3 4 2" xfId="22577"/>
    <cellStyle name="Вычисление 3 4 2 3 5" xfId="23052"/>
    <cellStyle name="Вычисление 3 4 2 3 6" xfId="23055"/>
    <cellStyle name="Вычисление 3 4 2 3 7" xfId="20677"/>
    <cellStyle name="Вычисление 3 4 2 4" xfId="5602"/>
    <cellStyle name="Вычисление 3 4 2 4 2" xfId="20758"/>
    <cellStyle name="Вычисление 3 4 2 4 3" xfId="22525"/>
    <cellStyle name="Вычисление 3 4 2 4 4" xfId="23101"/>
    <cellStyle name="Вычисление 3 4 2 4 5" xfId="19864"/>
    <cellStyle name="Вычисление 3 4 2 4 6" xfId="22218"/>
    <cellStyle name="Вычисление 3 4 2 4 7" xfId="21303"/>
    <cellStyle name="Вычисление 3 4 2 5" xfId="5937"/>
    <cellStyle name="Вычисление 3 4 2 5 2" xfId="20556"/>
    <cellStyle name="Вычисление 3 4 2 5 3" xfId="22860"/>
    <cellStyle name="Вычисление 3 4 2 5 4" xfId="21140"/>
    <cellStyle name="Вычисление 3 4 2 5 5" xfId="22018"/>
    <cellStyle name="Вычисление 3 4 2 5 6" xfId="20180"/>
    <cellStyle name="Вычисление 3 4 2 5 7" xfId="21564"/>
    <cellStyle name="Вычисление 3 4 2 6" xfId="6272"/>
    <cellStyle name="Вычисление 3 4 2 6 2" xfId="24074"/>
    <cellStyle name="Вычисление 3 4 2 6 3" xfId="20961"/>
    <cellStyle name="Вычисление 3 4 2 7" xfId="19117"/>
    <cellStyle name="Вычисление 3 4 2 7 2" xfId="19291"/>
    <cellStyle name="Вычисление 3 4 2 8" xfId="21909"/>
    <cellStyle name="Вычисление 3 4 2 9" xfId="19230"/>
    <cellStyle name="Вычисление 3 4 3" xfId="5422"/>
    <cellStyle name="Вычисление 3 4 3 2" xfId="20646"/>
    <cellStyle name="Вычисление 3 4 3 3" xfId="22345"/>
    <cellStyle name="Вычисление 3 4 3 4" xfId="23074"/>
    <cellStyle name="Вычисление 3 4 3 5" xfId="20546"/>
    <cellStyle name="Вычисление 3 4 3 6" xfId="20661"/>
    <cellStyle name="Вычисление 3 4 3 7" xfId="21228"/>
    <cellStyle name="Вычисление 3 4 4" xfId="5757"/>
    <cellStyle name="Вычисление 3 4 4 2" xfId="20499"/>
    <cellStyle name="Вычисление 3 4 4 3" xfId="22680"/>
    <cellStyle name="Вычисление 3 4 4 4" xfId="21088"/>
    <cellStyle name="Вычисление 3 4 4 5" xfId="22952"/>
    <cellStyle name="Вычисление 3 4 4 6" xfId="20044"/>
    <cellStyle name="Вычисление 3 4 4 7" xfId="21384"/>
    <cellStyle name="Вычисление 3 4 5" xfId="6092"/>
    <cellStyle name="Вычисление 3 4 5 2" xfId="23894"/>
    <cellStyle name="Вычисление 3 4 5 3" xfId="19611"/>
    <cellStyle name="Вычисление 3 4 6" xfId="18937"/>
    <cellStyle name="Вычисление 3 4 6 2" xfId="19745"/>
    <cellStyle name="Вычисление 3 4 7" xfId="20427"/>
    <cellStyle name="Вычисление 3 4 8" xfId="20809"/>
    <cellStyle name="Вычисление 3 4 9" xfId="19531"/>
    <cellStyle name="Вычисление 3 5" xfId="3247"/>
    <cellStyle name="Вычисление 3 5 10" xfId="23702"/>
    <cellStyle name="Вычисление 3 5 2" xfId="5628"/>
    <cellStyle name="Вычисление 3 5 2 2" xfId="5963"/>
    <cellStyle name="Вычисление 3 5 2 2 2" xfId="19345"/>
    <cellStyle name="Вычисление 3 5 2 2 3" xfId="22886"/>
    <cellStyle name="Вычисление 3 5 2 2 4" xfId="20086"/>
    <cellStyle name="Вычисление 3 5 2 2 5" xfId="23536"/>
    <cellStyle name="Вычисление 3 5 2 2 6" xfId="21102"/>
    <cellStyle name="Вычисление 3 5 2 2 7" xfId="21590"/>
    <cellStyle name="Вычисление 3 5 2 3" xfId="6298"/>
    <cellStyle name="Вычисление 3 5 2 3 2" xfId="24100"/>
    <cellStyle name="Вычисление 3 5 2 3 3" xfId="22185"/>
    <cellStyle name="Вычисление 3 5 2 4" xfId="19143"/>
    <cellStyle name="Вычисление 3 5 2 4 2" xfId="22551"/>
    <cellStyle name="Вычисление 3 5 2 5" xfId="22996"/>
    <cellStyle name="Вычисление 3 5 2 6" xfId="23476"/>
    <cellStyle name="Вычисление 3 5 2 7" xfId="23674"/>
    <cellStyle name="Вычисление 3 5 3" xfId="5477"/>
    <cellStyle name="Вычисление 3 5 3 2" xfId="5812"/>
    <cellStyle name="Вычисление 3 5 3 2 2" xfId="20090"/>
    <cellStyle name="Вычисление 3 5 3 2 3" xfId="22735"/>
    <cellStyle name="Вычисление 3 5 3 2 4" xfId="20733"/>
    <cellStyle name="Вычисление 3 5 3 2 5" xfId="23542"/>
    <cellStyle name="Вычисление 3 5 3 2 6" xfId="23715"/>
    <cellStyle name="Вычисление 3 5 3 2 7" xfId="21439"/>
    <cellStyle name="Вычисление 3 5 3 3" xfId="6147"/>
    <cellStyle name="Вычисление 3 5 3 3 2" xfId="23949"/>
    <cellStyle name="Вычисление 3 5 3 3 3" xfId="20540"/>
    <cellStyle name="Вычисление 3 5 3 4" xfId="18992"/>
    <cellStyle name="Вычисление 3 5 3 4 2" xfId="22400"/>
    <cellStyle name="Вычисление 3 5 3 5" xfId="23260"/>
    <cellStyle name="Вычисление 3 5 3 6" xfId="20696"/>
    <cellStyle name="Вычисление 3 5 3 7" xfId="20064"/>
    <cellStyle name="Вычисление 3 5 4" xfId="5564"/>
    <cellStyle name="Вычисление 3 5 4 2" xfId="20584"/>
    <cellStyle name="Вычисление 3 5 4 3" xfId="22487"/>
    <cellStyle name="Вычисление 3 5 4 4" xfId="22203"/>
    <cellStyle name="Вычисление 3 5 4 5" xfId="21129"/>
    <cellStyle name="Вычисление 3 5 4 6" xfId="23336"/>
    <cellStyle name="Вычисление 3 5 4 7" xfId="21265"/>
    <cellStyle name="Вычисление 3 5 5" xfId="5899"/>
    <cellStyle name="Вычисление 3 5 5 2" xfId="20431"/>
    <cellStyle name="Вычисление 3 5 5 3" xfId="22822"/>
    <cellStyle name="Вычисление 3 5 5 4" xfId="19284"/>
    <cellStyle name="Вычисление 3 5 5 5" xfId="22005"/>
    <cellStyle name="Вычисление 3 5 5 6" xfId="22237"/>
    <cellStyle name="Вычисление 3 5 5 7" xfId="21526"/>
    <cellStyle name="Вычисление 3 5 6" xfId="6234"/>
    <cellStyle name="Вычисление 3 5 6 2" xfId="24036"/>
    <cellStyle name="Вычисление 3 5 6 3" xfId="22065"/>
    <cellStyle name="Вычисление 3 5 7" xfId="19079"/>
    <cellStyle name="Вычисление 3 5 7 2" xfId="20102"/>
    <cellStyle name="Вычисление 3 5 8" xfId="20256"/>
    <cellStyle name="Вычисление 3 5 9" xfId="19646"/>
    <cellStyle name="Вычисление 3 6" xfId="5364"/>
    <cellStyle name="Вычисление 3 6 2" xfId="22062"/>
    <cellStyle name="Вычисление 3 6 3" xfId="22287"/>
    <cellStyle name="Вычисление 3 6 4" xfId="19585"/>
    <cellStyle name="Вычисление 3 6 5" xfId="21096"/>
    <cellStyle name="Вычисление 3 6 6" xfId="23728"/>
    <cellStyle name="Вычисление 3 6 7" xfId="21170"/>
    <cellStyle name="Вычисление 3 7" xfId="5699"/>
    <cellStyle name="Вычисление 3 7 2" xfId="21023"/>
    <cellStyle name="Вычисление 3 7 3" xfId="22622"/>
    <cellStyle name="Вычисление 3 7 4" xfId="23102"/>
    <cellStyle name="Вычисление 3 7 5" xfId="20618"/>
    <cellStyle name="Вычисление 3 7 6" xfId="23582"/>
    <cellStyle name="Вычисление 3 7 7" xfId="21326"/>
    <cellStyle name="Вычисление 3 8" xfId="6034"/>
    <cellStyle name="Вычисление 3 8 2" xfId="23836"/>
    <cellStyle name="Вычисление 3 8 3" xfId="19772"/>
    <cellStyle name="Вычисление 3 9" xfId="18879"/>
    <cellStyle name="Вычисление 3 9 2" xfId="20612"/>
    <cellStyle name="Гиперссылка" xfId="1" builtinId="8"/>
    <cellStyle name="Денежный 2" xfId="3217"/>
    <cellStyle name="Денежный 3" xfId="3216"/>
    <cellStyle name="Заголовок 1 2" xfId="129"/>
    <cellStyle name="Заголовок 1 2 2" xfId="130"/>
    <cellStyle name="Заголовок 1 2 3" xfId="10528"/>
    <cellStyle name="Заголовок 1 3" xfId="2852"/>
    <cellStyle name="Заголовок 2 2" xfId="131"/>
    <cellStyle name="Заголовок 2 2 2" xfId="132"/>
    <cellStyle name="Заголовок 2 2 3" xfId="10529"/>
    <cellStyle name="Заголовок 2 3" xfId="2853"/>
    <cellStyle name="Заголовок 3 2" xfId="133"/>
    <cellStyle name="Заголовок 3 2 2" xfId="134"/>
    <cellStyle name="Заголовок 3 2 3" xfId="10530"/>
    <cellStyle name="Заголовок 3 3" xfId="2854"/>
    <cellStyle name="Заголовок 4 2" xfId="135"/>
    <cellStyle name="Заголовок 4 2 2" xfId="136"/>
    <cellStyle name="Заголовок 4 2 3" xfId="10531"/>
    <cellStyle name="Заголовок 4 3" xfId="2855"/>
    <cellStyle name="Итог 2" xfId="137"/>
    <cellStyle name="Итог 2 10" xfId="20872"/>
    <cellStyle name="Итог 2 11" xfId="21707"/>
    <cellStyle name="Итог 2 2" xfId="138"/>
    <cellStyle name="Итог 2 2 2" xfId="5482"/>
    <cellStyle name="Итог 2 2 2 2" xfId="5817"/>
    <cellStyle name="Итог 2 2 2 2 2" xfId="19716"/>
    <cellStyle name="Итог 2 2 2 2 3" xfId="22740"/>
    <cellStyle name="Итог 2 2 2 2 4" xfId="19818"/>
    <cellStyle name="Итог 2 2 2 2 5" xfId="19272"/>
    <cellStyle name="Итог 2 2 2 2 6" xfId="23775"/>
    <cellStyle name="Итог 2 2 2 2 7" xfId="21444"/>
    <cellStyle name="Итог 2 2 2 3" xfId="6152"/>
    <cellStyle name="Итог 2 2 2 3 2" xfId="23954"/>
    <cellStyle name="Итог 2 2 2 3 3" xfId="22195"/>
    <cellStyle name="Итог 2 2 2 4" xfId="18997"/>
    <cellStyle name="Итог 2 2 2 4 2" xfId="22405"/>
    <cellStyle name="Итог 2 2 2 5" xfId="23230"/>
    <cellStyle name="Итог 2 2 2 6" xfId="23470"/>
    <cellStyle name="Итог 2 2 2 7" xfId="23574"/>
    <cellStyle name="Итог 2 2 3" xfId="5384"/>
    <cellStyle name="Итог 2 2 3 2" xfId="21943"/>
    <cellStyle name="Итог 2 2 3 3" xfId="22307"/>
    <cellStyle name="Итог 2 2 3 4" xfId="23157"/>
    <cellStyle name="Итог 2 2 3 5" xfId="21875"/>
    <cellStyle name="Итог 2 2 3 6" xfId="23752"/>
    <cellStyle name="Итог 2 2 3 7" xfId="21190"/>
    <cellStyle name="Итог 2 2 4" xfId="5719"/>
    <cellStyle name="Итог 2 2 4 2" xfId="20790"/>
    <cellStyle name="Итог 2 2 4 3" xfId="22642"/>
    <cellStyle name="Итог 2 2 4 4" xfId="19584"/>
    <cellStyle name="Итог 2 2 4 5" xfId="20761"/>
    <cellStyle name="Итог 2 2 4 6" xfId="23494"/>
    <cellStyle name="Итог 2 2 4 7" xfId="21346"/>
    <cellStyle name="Итог 2 2 5" xfId="6054"/>
    <cellStyle name="Итог 2 2 5 2" xfId="23856"/>
    <cellStyle name="Итог 2 2 5 3" xfId="20866"/>
    <cellStyle name="Итог 2 2 6" xfId="18899"/>
    <cellStyle name="Итог 2 2 6 2" xfId="20960"/>
    <cellStyle name="Итог 2 2 7" xfId="20005"/>
    <cellStyle name="Итог 2 2 8" xfId="19306"/>
    <cellStyle name="Итог 2 2 9" xfId="23496"/>
    <cellStyle name="Итог 2 3" xfId="1195"/>
    <cellStyle name="Итог 2 3 2" xfId="3271"/>
    <cellStyle name="Итог 2 3 2 10" xfId="20785"/>
    <cellStyle name="Итог 2 3 2 2" xfId="5466"/>
    <cellStyle name="Итог 2 3 2 2 2" xfId="5801"/>
    <cellStyle name="Итог 2 3 2 2 2 2" xfId="19288"/>
    <cellStyle name="Итог 2 3 2 2 2 3" xfId="22724"/>
    <cellStyle name="Итог 2 3 2 2 2 4" xfId="22276"/>
    <cellStyle name="Итог 2 3 2 2 2 5" xfId="20236"/>
    <cellStyle name="Итог 2 3 2 2 2 6" xfId="21853"/>
    <cellStyle name="Итог 2 3 2 2 2 7" xfId="21428"/>
    <cellStyle name="Итог 2 3 2 2 3" xfId="6136"/>
    <cellStyle name="Итог 2 3 2 2 3 2" xfId="23938"/>
    <cellStyle name="Итог 2 3 2 2 3 3" xfId="19851"/>
    <cellStyle name="Итог 2 3 2 2 4" xfId="18981"/>
    <cellStyle name="Итог 2 3 2 2 4 2" xfId="22389"/>
    <cellStyle name="Итог 2 3 2 2 5" xfId="23128"/>
    <cellStyle name="Итог 2 3 2 2 6" xfId="21008"/>
    <cellStyle name="Итог 2 3 2 2 7" xfId="19720"/>
    <cellStyle name="Итог 2 3 2 3" xfId="5634"/>
    <cellStyle name="Итог 2 3 2 3 2" xfId="5969"/>
    <cellStyle name="Итог 2 3 2 3 2 2" xfId="21783"/>
    <cellStyle name="Итог 2 3 2 3 2 3" xfId="22892"/>
    <cellStyle name="Итог 2 3 2 3 2 4" xfId="20426"/>
    <cellStyle name="Итог 2 3 2 3 2 5" xfId="21072"/>
    <cellStyle name="Итог 2 3 2 3 2 6" xfId="21765"/>
    <cellStyle name="Итог 2 3 2 3 2 7" xfId="21596"/>
    <cellStyle name="Итог 2 3 2 3 3" xfId="6304"/>
    <cellStyle name="Итог 2 3 2 3 3 2" xfId="24106"/>
    <cellStyle name="Итог 2 3 2 3 3 3" xfId="21907"/>
    <cellStyle name="Итог 2 3 2 3 4" xfId="19149"/>
    <cellStyle name="Итог 2 3 2 3 4 2" xfId="22557"/>
    <cellStyle name="Итог 2 3 2 3 5" xfId="23050"/>
    <cellStyle name="Итог 2 3 2 3 6" xfId="21011"/>
    <cellStyle name="Итог 2 3 2 3 7" xfId="23741"/>
    <cellStyle name="Итог 2 3 2 4" xfId="5588"/>
    <cellStyle name="Итог 2 3 2 4 2" xfId="19792"/>
    <cellStyle name="Итог 2 3 2 4 3" xfId="22511"/>
    <cellStyle name="Итог 2 3 2 4 4" xfId="23017"/>
    <cellStyle name="Итог 2 3 2 4 5" xfId="22272"/>
    <cellStyle name="Итог 2 3 2 4 6" xfId="20959"/>
    <cellStyle name="Итог 2 3 2 4 7" xfId="21289"/>
    <cellStyle name="Итог 2 3 2 5" xfId="5923"/>
    <cellStyle name="Итог 2 3 2 5 2" xfId="21750"/>
    <cellStyle name="Итог 2 3 2 5 3" xfId="22846"/>
    <cellStyle name="Итог 2 3 2 5 4" xfId="19599"/>
    <cellStyle name="Итог 2 3 2 5 5" xfId="23444"/>
    <cellStyle name="Итог 2 3 2 5 6" xfId="20399"/>
    <cellStyle name="Итог 2 3 2 5 7" xfId="21550"/>
    <cellStyle name="Итог 2 3 2 6" xfId="6258"/>
    <cellStyle name="Итог 2 3 2 6 2" xfId="24060"/>
    <cellStyle name="Итог 2 3 2 6 3" xfId="20728"/>
    <cellStyle name="Итог 2 3 2 7" xfId="19103"/>
    <cellStyle name="Итог 2 3 2 7 2" xfId="19660"/>
    <cellStyle name="Итог 2 3 2 8" xfId="20351"/>
    <cellStyle name="Итог 2 3 2 9" xfId="22949"/>
    <cellStyle name="Итог 2 3 3" xfId="5408"/>
    <cellStyle name="Итог 2 3 3 2" xfId="22198"/>
    <cellStyle name="Итог 2 3 3 3" xfId="22331"/>
    <cellStyle name="Итог 2 3 3 4" xfId="23012"/>
    <cellStyle name="Итог 2 3 3 5" xfId="22249"/>
    <cellStyle name="Итог 2 3 3 6" xfId="21776"/>
    <cellStyle name="Итог 2 3 3 7" xfId="21214"/>
    <cellStyle name="Итог 2 3 4" xfId="5743"/>
    <cellStyle name="Итог 2 3 4 2" xfId="20569"/>
    <cellStyle name="Итог 2 3 4 3" xfId="22666"/>
    <cellStyle name="Итог 2 3 4 4" xfId="21103"/>
    <cellStyle name="Итог 2 3 4 5" xfId="20117"/>
    <cellStyle name="Итог 2 3 4 6" xfId="19404"/>
    <cellStyle name="Итог 2 3 4 7" xfId="21370"/>
    <cellStyle name="Итог 2 3 5" xfId="6078"/>
    <cellStyle name="Итог 2 3 5 2" xfId="23880"/>
    <cellStyle name="Итог 2 3 5 3" xfId="19224"/>
    <cellStyle name="Итог 2 3 6" xfId="18923"/>
    <cellStyle name="Итог 2 3 6 2" xfId="19655"/>
    <cellStyle name="Итог 2 3 7" xfId="22232"/>
    <cellStyle name="Итог 2 3 8" xfId="19783"/>
    <cellStyle name="Итог 2 3 9" xfId="21699"/>
    <cellStyle name="Итог 2 4" xfId="3218"/>
    <cellStyle name="Итог 2 4 10" xfId="19567"/>
    <cellStyle name="Итог 2 4 2" xfId="5637"/>
    <cellStyle name="Итог 2 4 2 2" xfId="5972"/>
    <cellStyle name="Итог 2 4 2 2 2" xfId="19949"/>
    <cellStyle name="Итог 2 4 2 2 3" xfId="22895"/>
    <cellStyle name="Итог 2 4 2 2 4" xfId="20069"/>
    <cellStyle name="Итог 2 4 2 2 5" xfId="20470"/>
    <cellStyle name="Итог 2 4 2 2 6" xfId="19833"/>
    <cellStyle name="Итог 2 4 2 2 7" xfId="21599"/>
    <cellStyle name="Итог 2 4 2 3" xfId="6307"/>
    <cellStyle name="Итог 2 4 2 3 2" xfId="24109"/>
    <cellStyle name="Итог 2 4 2 3 3" xfId="21161"/>
    <cellStyle name="Итог 2 4 2 4" xfId="19152"/>
    <cellStyle name="Итог 2 4 2 4 2" xfId="22560"/>
    <cellStyle name="Итог 2 4 2 5" xfId="23019"/>
    <cellStyle name="Итог 2 4 2 6" xfId="20042"/>
    <cellStyle name="Итог 2 4 2 7" xfId="19695"/>
    <cellStyle name="Итог 2 4 3" xfId="5493"/>
    <cellStyle name="Итог 2 4 3 2" xfId="5828"/>
    <cellStyle name="Итог 2 4 3 2 2" xfId="19373"/>
    <cellStyle name="Итог 2 4 3 2 3" xfId="22751"/>
    <cellStyle name="Итог 2 4 3 2 4" xfId="20301"/>
    <cellStyle name="Итог 2 4 3 2 5" xfId="20059"/>
    <cellStyle name="Итог 2 4 3 2 6" xfId="21126"/>
    <cellStyle name="Итог 2 4 3 2 7" xfId="21455"/>
    <cellStyle name="Итог 2 4 3 3" xfId="6163"/>
    <cellStyle name="Итог 2 4 3 3 2" xfId="23965"/>
    <cellStyle name="Итог 2 4 3 3 3" xfId="20828"/>
    <cellStyle name="Итог 2 4 3 4" xfId="19008"/>
    <cellStyle name="Итог 2 4 3 4 2" xfId="22416"/>
    <cellStyle name="Итог 2 4 3 5" xfId="21933"/>
    <cellStyle name="Итог 2 4 3 6" xfId="21108"/>
    <cellStyle name="Итог 2 4 3 7" xfId="23558"/>
    <cellStyle name="Итог 2 4 4" xfId="5442"/>
    <cellStyle name="Итог 2 4 4 2" xfId="21984"/>
    <cellStyle name="Итог 2 4 4 3" xfId="22365"/>
    <cellStyle name="Итог 2 4 4 4" xfId="23092"/>
    <cellStyle name="Итог 2 4 4 5" xfId="19486"/>
    <cellStyle name="Итог 2 4 4 6" xfId="23743"/>
    <cellStyle name="Итог 2 4 4 7" xfId="21248"/>
    <cellStyle name="Итог 2 4 5" xfId="5777"/>
    <cellStyle name="Итог 2 4 5 2" xfId="21677"/>
    <cellStyle name="Итог 2 4 5 3" xfId="22700"/>
    <cellStyle name="Итог 2 4 5 4" xfId="23280"/>
    <cellStyle name="Итог 2 4 5 5" xfId="19672"/>
    <cellStyle name="Итог 2 4 5 6" xfId="20422"/>
    <cellStyle name="Итог 2 4 5 7" xfId="21404"/>
    <cellStyle name="Итог 2 4 6" xfId="6112"/>
    <cellStyle name="Итог 2 4 6 2" xfId="23914"/>
    <cellStyle name="Итог 2 4 6 3" xfId="20748"/>
    <cellStyle name="Итог 2 4 7" xfId="18957"/>
    <cellStyle name="Итог 2 4 7 2" xfId="20209"/>
    <cellStyle name="Итог 2 4 8" xfId="21806"/>
    <cellStyle name="Итог 2 4 9" xfId="21828"/>
    <cellStyle name="Итог 2 5" xfId="5365"/>
    <cellStyle name="Итог 2 5 2" xfId="19463"/>
    <cellStyle name="Итог 2 5 3" xfId="22288"/>
    <cellStyle name="Итог 2 5 4" xfId="23235"/>
    <cellStyle name="Итог 2 5 5" xfId="23054"/>
    <cellStyle name="Итог 2 5 6" xfId="19859"/>
    <cellStyle name="Итог 2 5 7" xfId="21171"/>
    <cellStyle name="Итог 2 6" xfId="5700"/>
    <cellStyle name="Итог 2 6 2" xfId="21904"/>
    <cellStyle name="Итог 2 6 3" xfId="22623"/>
    <cellStyle name="Итог 2 6 4" xfId="21837"/>
    <cellStyle name="Итог 2 6 5" xfId="23129"/>
    <cellStyle name="Итог 2 6 6" xfId="23776"/>
    <cellStyle name="Итог 2 6 7" xfId="21327"/>
    <cellStyle name="Итог 2 7" xfId="6035"/>
    <cellStyle name="Итог 2 7 2" xfId="23837"/>
    <cellStyle name="Итог 2 7 3" xfId="19499"/>
    <cellStyle name="Итог 2 8" xfId="18880"/>
    <cellStyle name="Итог 2 8 2" xfId="19229"/>
    <cellStyle name="Итог 2 9" xfId="19491"/>
    <cellStyle name="Итог 3" xfId="2856"/>
    <cellStyle name="Итог 3 10" xfId="19726"/>
    <cellStyle name="Итог 3 2" xfId="5458"/>
    <cellStyle name="Итог 3 2 2" xfId="5793"/>
    <cellStyle name="Итог 3 2 2 2" xfId="21782"/>
    <cellStyle name="Итог 3 2 2 3" xfId="22716"/>
    <cellStyle name="Итог 3 2 2 4" xfId="19678"/>
    <cellStyle name="Итог 3 2 2 5" xfId="19485"/>
    <cellStyle name="Итог 3 2 2 6" xfId="19880"/>
    <cellStyle name="Итог 3 2 2 7" xfId="21420"/>
    <cellStyle name="Итог 3 2 3" xfId="6128"/>
    <cellStyle name="Итог 3 2 3 2" xfId="23930"/>
    <cellStyle name="Итог 3 2 3 3" xfId="20908"/>
    <cellStyle name="Итог 3 2 4" xfId="18973"/>
    <cellStyle name="Итог 3 2 4 2" xfId="22381"/>
    <cellStyle name="Итог 3 2 5" xfId="23100"/>
    <cellStyle name="Итог 3 2 6" xfId="19210"/>
    <cellStyle name="Итог 3 2 7" xfId="23732"/>
    <cellStyle name="Итог 3 3" xfId="5675"/>
    <cellStyle name="Итог 3 3 2" xfId="6010"/>
    <cellStyle name="Итог 3 3 2 2" xfId="21748"/>
    <cellStyle name="Итог 3 3 2 3" xfId="22933"/>
    <cellStyle name="Итог 3 3 2 4" xfId="23405"/>
    <cellStyle name="Итог 3 3 2 5" xfId="23631"/>
    <cellStyle name="Итог 3 3 2 6" xfId="20376"/>
    <cellStyle name="Итог 3 3 2 7" xfId="21637"/>
    <cellStyle name="Итог 3 3 3" xfId="6345"/>
    <cellStyle name="Итог 3 3 3 2" xfId="24147"/>
    <cellStyle name="Итог 3 3 3 3" xfId="21976"/>
    <cellStyle name="Итог 3 3 4" xfId="19190"/>
    <cellStyle name="Итог 3 3 4 2" xfId="22598"/>
    <cellStyle name="Итог 3 3 5" xfId="23322"/>
    <cellStyle name="Итог 3 3 6" xfId="20014"/>
    <cellStyle name="Итог 3 3 7" xfId="20500"/>
    <cellStyle name="Итог 3 4" xfId="5372"/>
    <cellStyle name="Итог 3 4 2" xfId="20856"/>
    <cellStyle name="Итог 3 4 3" xfId="22295"/>
    <cellStyle name="Итог 3 4 4" xfId="23209"/>
    <cellStyle name="Итог 3 4 5" xfId="22183"/>
    <cellStyle name="Итог 3 4 6" xfId="23557"/>
    <cellStyle name="Итог 3 4 7" xfId="21178"/>
    <cellStyle name="Итог 3 5" xfId="5707"/>
    <cellStyle name="Итог 3 5 2" xfId="21093"/>
    <cellStyle name="Итог 3 5 3" xfId="22630"/>
    <cellStyle name="Итог 3 5 4" xfId="20964"/>
    <cellStyle name="Итог 3 5 5" xfId="19753"/>
    <cellStyle name="Итог 3 5 6" xfId="23233"/>
    <cellStyle name="Итог 3 5 7" xfId="21334"/>
    <cellStyle name="Итог 3 6" xfId="6042"/>
    <cellStyle name="Итог 3 6 2" xfId="23844"/>
    <cellStyle name="Итог 3 6 3" xfId="20787"/>
    <cellStyle name="Итог 3 7" xfId="18887"/>
    <cellStyle name="Итог 3 7 2" xfId="21143"/>
    <cellStyle name="Итог 3 8" xfId="22202"/>
    <cellStyle name="Итог 3 9" xfId="21661"/>
    <cellStyle name="Контрольная ячейка 2" xfId="139"/>
    <cellStyle name="Контрольная ячейка 2 2" xfId="140"/>
    <cellStyle name="Контрольная ячейка 2 2 2" xfId="650"/>
    <cellStyle name="Контрольная ячейка 2 2 3" xfId="2955"/>
    <cellStyle name="Контрольная ячейка 2 3" xfId="141"/>
    <cellStyle name="Контрольная ячейка 2 4" xfId="10532"/>
    <cellStyle name="Контрольная ячейка 3" xfId="142"/>
    <cellStyle name="Контрольная ячейка 3 2" xfId="651"/>
    <cellStyle name="Контрольная ячейка 3 2 2" xfId="3211"/>
    <cellStyle name="Контрольная ячейка 3 2 3" xfId="2857"/>
    <cellStyle name="Название 2" xfId="143"/>
    <cellStyle name="Название 2 2" xfId="144"/>
    <cellStyle name="Название 2 3" xfId="10533"/>
    <cellStyle name="Название 3" xfId="2858"/>
    <cellStyle name="Нейтральный 2" xfId="145"/>
    <cellStyle name="Нейтральный 2 2" xfId="146"/>
    <cellStyle name="Нейтральный 2 2 2" xfId="652"/>
    <cellStyle name="Нейтральный 2 2 3" xfId="2956"/>
    <cellStyle name="Нейтральный 2 3" xfId="147"/>
    <cellStyle name="Нейтральный 2 4" xfId="10534"/>
    <cellStyle name="Нейтральный 3" xfId="148"/>
    <cellStyle name="Нейтральный 3 2" xfId="653"/>
    <cellStyle name="Нейтральный 3 2 2" xfId="3212"/>
    <cellStyle name="Нейтральный 3 2 3" xfId="2859"/>
    <cellStyle name="Обычный" xfId="0" builtinId="0"/>
    <cellStyle name="Обычный 10" xfId="149"/>
    <cellStyle name="Обычный 10 2" xfId="2860"/>
    <cellStyle name="Обычный 11" xfId="150"/>
    <cellStyle name="Обычный 11 2" xfId="654"/>
    <cellStyle name="Обычный 12" xfId="2"/>
    <cellStyle name="Обычный 12 2" xfId="151"/>
    <cellStyle name="Обычный 12 2 2" xfId="1728"/>
    <cellStyle name="Обычный 12 3" xfId="842"/>
    <cellStyle name="Обычный 12 3 2" xfId="10535"/>
    <cellStyle name="Обычный 12 4" xfId="3222"/>
    <cellStyle name="Обычный 13" xfId="6361"/>
    <cellStyle name="Обычный 13 2" xfId="10536"/>
    <cellStyle name="Обычный 13 2 2" xfId="10537"/>
    <cellStyle name="Обычный 13 2 3" xfId="10538"/>
    <cellStyle name="Обычный 13 3" xfId="10539"/>
    <cellStyle name="Обычный 13 4" xfId="24163"/>
    <cellStyle name="Обычный 13 5" xfId="19206"/>
    <cellStyle name="Обычный 14" xfId="10540"/>
    <cellStyle name="Обычный 15" xfId="10541"/>
    <cellStyle name="Обычный 15 2" xfId="10474"/>
    <cellStyle name="Обычный 2" xfId="152"/>
    <cellStyle name="Обычный 2 2" xfId="153"/>
    <cellStyle name="Обычный 2 2 2" xfId="154"/>
    <cellStyle name="Обычный 2 26 2" xfId="155"/>
    <cellStyle name="Обычный 2 26 2 2" xfId="156"/>
    <cellStyle name="Обычный 2 26 2 2 2" xfId="157"/>
    <cellStyle name="Обычный 2 3" xfId="841"/>
    <cellStyle name="Обычный 2 3 2" xfId="1961"/>
    <cellStyle name="Обычный 2 3 2 2" xfId="4499"/>
    <cellStyle name="Обычный 2 3 2 2 2" xfId="9617"/>
    <cellStyle name="Обычный 2 3 2 2 2 2" xfId="10542"/>
    <cellStyle name="Обычный 2 3 2 2 3" xfId="10543"/>
    <cellStyle name="Обычный 2 3 2 3" xfId="7561"/>
    <cellStyle name="Обычный 2 3 2 3 2" xfId="10544"/>
    <cellStyle name="Обычный 2 3 2 4" xfId="10545"/>
    <cellStyle name="Обычный 2 3 3" xfId="3471"/>
    <cellStyle name="Обычный 2 3 3 2" xfId="8589"/>
    <cellStyle name="Обычный 2 3 3 2 2" xfId="10546"/>
    <cellStyle name="Обычный 2 3 3 3" xfId="10547"/>
    <cellStyle name="Обычный 2 3 4" xfId="6533"/>
    <cellStyle name="Обычный 2 3 4 2" xfId="10548"/>
    <cellStyle name="Обычный 2 3 5" xfId="10549"/>
    <cellStyle name="Обычный 2 4" xfId="843"/>
    <cellStyle name="Обычный 2 4 2" xfId="1962"/>
    <cellStyle name="Обычный 2 4 2 2" xfId="4500"/>
    <cellStyle name="Обычный 2 4 2 2 2" xfId="9618"/>
    <cellStyle name="Обычный 2 4 2 2 2 2" xfId="10550"/>
    <cellStyle name="Обычный 2 4 2 2 3" xfId="10551"/>
    <cellStyle name="Обычный 2 4 2 3" xfId="7562"/>
    <cellStyle name="Обычный 2 4 2 3 2" xfId="10552"/>
    <cellStyle name="Обычный 2 4 2 4" xfId="10553"/>
    <cellStyle name="Обычный 2 4 3" xfId="3472"/>
    <cellStyle name="Обычный 2 4 3 2" xfId="8590"/>
    <cellStyle name="Обычный 2 4 3 2 2" xfId="10554"/>
    <cellStyle name="Обычный 2 4 3 3" xfId="10555"/>
    <cellStyle name="Обычный 2 4 4" xfId="6534"/>
    <cellStyle name="Обычный 2 4 4 2" xfId="10556"/>
    <cellStyle name="Обычный 2 4 5" xfId="10557"/>
    <cellStyle name="Обычный 3" xfId="158"/>
    <cellStyle name="Обычный 3 10 2" xfId="3223"/>
    <cellStyle name="Обычный 3 2" xfId="159"/>
    <cellStyle name="Обычный 3 2 2 2" xfId="160"/>
    <cellStyle name="Обычный 3 2 2 2 2" xfId="1729"/>
    <cellStyle name="Обычный 3 21" xfId="161"/>
    <cellStyle name="Обычный 30" xfId="3224"/>
    <cellStyle name="Обычный 4" xfId="162"/>
    <cellStyle name="Обычный 4 2" xfId="163"/>
    <cellStyle name="Обычный 4 3" xfId="164"/>
    <cellStyle name="Обычный 4 4" xfId="165"/>
    <cellStyle name="Обычный 4 4 2" xfId="655"/>
    <cellStyle name="Обычный 4 4 3" xfId="2957"/>
    <cellStyle name="Обычный 5" xfId="166"/>
    <cellStyle name="Обычный 5 2" xfId="167"/>
    <cellStyle name="Обычный 5 3" xfId="168"/>
    <cellStyle name="Обычный 5 3 2" xfId="656"/>
    <cellStyle name="Обычный 5 3 3" xfId="2958"/>
    <cellStyle name="Обычный 6" xfId="169"/>
    <cellStyle name="Обычный 6 10" xfId="10558"/>
    <cellStyle name="Обычный 6 2" xfId="170"/>
    <cellStyle name="Обычный 6 2 10" xfId="171"/>
    <cellStyle name="Обычный 6 2 10 2" xfId="657"/>
    <cellStyle name="Обычный 6 2 10 2 2" xfId="1785"/>
    <cellStyle name="Обычный 6 2 10 2 2 2" xfId="4328"/>
    <cellStyle name="Обычный 6 2 10 2 2 2 2" xfId="9446"/>
    <cellStyle name="Обычный 6 2 10 2 2 2 2 2" xfId="10559"/>
    <cellStyle name="Обычный 6 2 10 2 2 2 3" xfId="10560"/>
    <cellStyle name="Обычный 6 2 10 2 2 3" xfId="7390"/>
    <cellStyle name="Обычный 6 2 10 2 2 3 2" xfId="10561"/>
    <cellStyle name="Обычный 6 2 10 2 2 4" xfId="10562"/>
    <cellStyle name="Обычный 6 2 10 2 3" xfId="3300"/>
    <cellStyle name="Обычный 6 2 10 2 3 2" xfId="8418"/>
    <cellStyle name="Обычный 6 2 10 2 3 2 2" xfId="10563"/>
    <cellStyle name="Обычный 6 2 10 2 3 3" xfId="10564"/>
    <cellStyle name="Обычный 6 2 10 2 4" xfId="6362"/>
    <cellStyle name="Обычный 6 2 10 2 4 2" xfId="10565"/>
    <cellStyle name="Обычный 6 2 10 2 5" xfId="10566"/>
    <cellStyle name="Обычный 6 2 10 3" xfId="844"/>
    <cellStyle name="Обычный 6 2 10 3 2" xfId="1963"/>
    <cellStyle name="Обычный 6 2 10 3 2 2" xfId="4501"/>
    <cellStyle name="Обычный 6 2 10 3 2 2 2" xfId="9619"/>
    <cellStyle name="Обычный 6 2 10 3 2 2 2 2" xfId="10567"/>
    <cellStyle name="Обычный 6 2 10 3 2 2 3" xfId="10568"/>
    <cellStyle name="Обычный 6 2 10 3 2 3" xfId="7563"/>
    <cellStyle name="Обычный 6 2 10 3 2 3 2" xfId="10569"/>
    <cellStyle name="Обычный 6 2 10 3 2 4" xfId="10570"/>
    <cellStyle name="Обычный 6 2 10 3 3" xfId="3473"/>
    <cellStyle name="Обычный 6 2 10 3 3 2" xfId="8591"/>
    <cellStyle name="Обычный 6 2 10 3 3 2 2" xfId="10571"/>
    <cellStyle name="Обычный 6 2 10 3 3 3" xfId="10572"/>
    <cellStyle name="Обычный 6 2 10 3 4" xfId="6535"/>
    <cellStyle name="Обычный 6 2 10 3 4 2" xfId="10573"/>
    <cellStyle name="Обычный 6 2 10 3 5" xfId="10574"/>
    <cellStyle name="Обычный 6 2 10 4" xfId="1015"/>
    <cellStyle name="Обычный 6 2 10 4 2" xfId="2134"/>
    <cellStyle name="Обычный 6 2 10 4 2 2" xfId="4672"/>
    <cellStyle name="Обычный 6 2 10 4 2 2 2" xfId="9790"/>
    <cellStyle name="Обычный 6 2 10 4 2 2 2 2" xfId="10575"/>
    <cellStyle name="Обычный 6 2 10 4 2 2 3" xfId="10576"/>
    <cellStyle name="Обычный 6 2 10 4 2 3" xfId="7734"/>
    <cellStyle name="Обычный 6 2 10 4 2 3 2" xfId="10577"/>
    <cellStyle name="Обычный 6 2 10 4 2 4" xfId="10578"/>
    <cellStyle name="Обычный 6 2 10 4 3" xfId="3644"/>
    <cellStyle name="Обычный 6 2 10 4 3 2" xfId="8762"/>
    <cellStyle name="Обычный 6 2 10 4 3 2 2" xfId="10579"/>
    <cellStyle name="Обычный 6 2 10 4 3 3" xfId="10580"/>
    <cellStyle name="Обычный 6 2 10 4 4" xfId="6706"/>
    <cellStyle name="Обычный 6 2 10 4 4 2" xfId="10581"/>
    <cellStyle name="Обычный 6 2 10 4 5" xfId="10582"/>
    <cellStyle name="Обычный 6 2 10 5" xfId="1196"/>
    <cellStyle name="Обычный 6 2 10 5 2" xfId="2305"/>
    <cellStyle name="Обычный 6 2 10 5 2 2" xfId="4843"/>
    <cellStyle name="Обычный 6 2 10 5 2 2 2" xfId="9961"/>
    <cellStyle name="Обычный 6 2 10 5 2 2 2 2" xfId="10583"/>
    <cellStyle name="Обычный 6 2 10 5 2 2 3" xfId="10584"/>
    <cellStyle name="Обычный 6 2 10 5 2 3" xfId="7905"/>
    <cellStyle name="Обычный 6 2 10 5 2 3 2" xfId="10585"/>
    <cellStyle name="Обычный 6 2 10 5 2 4" xfId="10586"/>
    <cellStyle name="Обычный 6 2 10 5 3" xfId="3815"/>
    <cellStyle name="Обычный 6 2 10 5 3 2" xfId="8933"/>
    <cellStyle name="Обычный 6 2 10 5 3 2 2" xfId="10587"/>
    <cellStyle name="Обычный 6 2 10 5 3 3" xfId="10588"/>
    <cellStyle name="Обычный 6 2 10 5 4" xfId="6877"/>
    <cellStyle name="Обычный 6 2 10 5 4 2" xfId="10589"/>
    <cellStyle name="Обычный 6 2 10 5 5" xfId="10590"/>
    <cellStyle name="Обычный 6 2 10 6" xfId="1370"/>
    <cellStyle name="Обычный 6 2 10 6 2" xfId="2476"/>
    <cellStyle name="Обычный 6 2 10 6 2 2" xfId="5014"/>
    <cellStyle name="Обычный 6 2 10 6 2 2 2" xfId="10132"/>
    <cellStyle name="Обычный 6 2 10 6 2 2 2 2" xfId="10591"/>
    <cellStyle name="Обычный 6 2 10 6 2 2 3" xfId="10592"/>
    <cellStyle name="Обычный 6 2 10 6 2 3" xfId="8076"/>
    <cellStyle name="Обычный 6 2 10 6 2 3 2" xfId="10593"/>
    <cellStyle name="Обычный 6 2 10 6 2 4" xfId="10594"/>
    <cellStyle name="Обычный 6 2 10 6 3" xfId="3986"/>
    <cellStyle name="Обычный 6 2 10 6 3 2" xfId="9104"/>
    <cellStyle name="Обычный 6 2 10 6 3 2 2" xfId="10595"/>
    <cellStyle name="Обычный 6 2 10 6 3 3" xfId="10596"/>
    <cellStyle name="Обычный 6 2 10 6 4" xfId="7048"/>
    <cellStyle name="Обычный 6 2 10 6 4 2" xfId="10597"/>
    <cellStyle name="Обычный 6 2 10 6 5" xfId="10598"/>
    <cellStyle name="Обычный 6 2 10 7" xfId="1541"/>
    <cellStyle name="Обычный 6 2 10 7 2" xfId="2647"/>
    <cellStyle name="Обычный 6 2 10 7 2 2" xfId="5185"/>
    <cellStyle name="Обычный 6 2 10 7 2 2 2" xfId="10303"/>
    <cellStyle name="Обычный 6 2 10 7 2 2 2 2" xfId="10599"/>
    <cellStyle name="Обычный 6 2 10 7 2 2 3" xfId="10600"/>
    <cellStyle name="Обычный 6 2 10 7 2 3" xfId="8247"/>
    <cellStyle name="Обычный 6 2 10 7 2 3 2" xfId="10601"/>
    <cellStyle name="Обычный 6 2 10 7 2 4" xfId="10602"/>
    <cellStyle name="Обычный 6 2 10 7 3" xfId="4157"/>
    <cellStyle name="Обычный 6 2 10 7 3 2" xfId="9275"/>
    <cellStyle name="Обычный 6 2 10 7 3 2 2" xfId="10603"/>
    <cellStyle name="Обычный 6 2 10 7 3 3" xfId="10604"/>
    <cellStyle name="Обычный 6 2 10 7 4" xfId="7219"/>
    <cellStyle name="Обычный 6 2 10 7 4 2" xfId="10605"/>
    <cellStyle name="Обычный 6 2 10 7 5" xfId="10606"/>
    <cellStyle name="Обычный 6 2 10 8" xfId="2959"/>
    <cellStyle name="Обычный 6 2 11" xfId="10607"/>
    <cellStyle name="Обычный 6 2 2" xfId="172"/>
    <cellStyle name="Обычный 6 2 2 10" xfId="10608"/>
    <cellStyle name="Обычный 6 2 2 2" xfId="173"/>
    <cellStyle name="Обычный 6 2 2 2 2" xfId="174"/>
    <cellStyle name="Обычный 6 2 2 2 2 2" xfId="175"/>
    <cellStyle name="Обычный 6 2 2 2 2 2 2" xfId="176"/>
    <cellStyle name="Обычный 6 2 2 2 2 2 2 2" xfId="177"/>
    <cellStyle name="Обычный 6 2 2 2 2 2 2 2 2" xfId="658"/>
    <cellStyle name="Обычный 6 2 2 2 2 2 2 2 2 2" xfId="1786"/>
    <cellStyle name="Обычный 6 2 2 2 2 2 2 2 2 2 2" xfId="4329"/>
    <cellStyle name="Обычный 6 2 2 2 2 2 2 2 2 2 2 2" xfId="9447"/>
    <cellStyle name="Обычный 6 2 2 2 2 2 2 2 2 2 2 2 2" xfId="10609"/>
    <cellStyle name="Обычный 6 2 2 2 2 2 2 2 2 2 2 3" xfId="10610"/>
    <cellStyle name="Обычный 6 2 2 2 2 2 2 2 2 2 3" xfId="7391"/>
    <cellStyle name="Обычный 6 2 2 2 2 2 2 2 2 2 3 2" xfId="10611"/>
    <cellStyle name="Обычный 6 2 2 2 2 2 2 2 2 2 4" xfId="10612"/>
    <cellStyle name="Обычный 6 2 2 2 2 2 2 2 2 3" xfId="3301"/>
    <cellStyle name="Обычный 6 2 2 2 2 2 2 2 2 3 2" xfId="8419"/>
    <cellStyle name="Обычный 6 2 2 2 2 2 2 2 2 3 2 2" xfId="10613"/>
    <cellStyle name="Обычный 6 2 2 2 2 2 2 2 2 3 3" xfId="10614"/>
    <cellStyle name="Обычный 6 2 2 2 2 2 2 2 2 4" xfId="6363"/>
    <cellStyle name="Обычный 6 2 2 2 2 2 2 2 2 4 2" xfId="10615"/>
    <cellStyle name="Обычный 6 2 2 2 2 2 2 2 2 5" xfId="10616"/>
    <cellStyle name="Обычный 6 2 2 2 2 2 2 2 3" xfId="845"/>
    <cellStyle name="Обычный 6 2 2 2 2 2 2 2 3 2" xfId="1964"/>
    <cellStyle name="Обычный 6 2 2 2 2 2 2 2 3 2 2" xfId="4502"/>
    <cellStyle name="Обычный 6 2 2 2 2 2 2 2 3 2 2 2" xfId="9620"/>
    <cellStyle name="Обычный 6 2 2 2 2 2 2 2 3 2 2 2 2" xfId="10617"/>
    <cellStyle name="Обычный 6 2 2 2 2 2 2 2 3 2 2 3" xfId="10618"/>
    <cellStyle name="Обычный 6 2 2 2 2 2 2 2 3 2 3" xfId="7564"/>
    <cellStyle name="Обычный 6 2 2 2 2 2 2 2 3 2 3 2" xfId="10619"/>
    <cellStyle name="Обычный 6 2 2 2 2 2 2 2 3 2 4" xfId="10620"/>
    <cellStyle name="Обычный 6 2 2 2 2 2 2 2 3 3" xfId="3474"/>
    <cellStyle name="Обычный 6 2 2 2 2 2 2 2 3 3 2" xfId="8592"/>
    <cellStyle name="Обычный 6 2 2 2 2 2 2 2 3 3 2 2" xfId="10621"/>
    <cellStyle name="Обычный 6 2 2 2 2 2 2 2 3 3 3" xfId="10622"/>
    <cellStyle name="Обычный 6 2 2 2 2 2 2 2 3 4" xfId="6536"/>
    <cellStyle name="Обычный 6 2 2 2 2 2 2 2 3 4 2" xfId="10623"/>
    <cellStyle name="Обычный 6 2 2 2 2 2 2 2 3 5" xfId="10624"/>
    <cellStyle name="Обычный 6 2 2 2 2 2 2 2 4" xfId="1016"/>
    <cellStyle name="Обычный 6 2 2 2 2 2 2 2 4 2" xfId="2135"/>
    <cellStyle name="Обычный 6 2 2 2 2 2 2 2 4 2 2" xfId="4673"/>
    <cellStyle name="Обычный 6 2 2 2 2 2 2 2 4 2 2 2" xfId="9791"/>
    <cellStyle name="Обычный 6 2 2 2 2 2 2 2 4 2 2 2 2" xfId="10625"/>
    <cellStyle name="Обычный 6 2 2 2 2 2 2 2 4 2 2 3" xfId="10626"/>
    <cellStyle name="Обычный 6 2 2 2 2 2 2 2 4 2 3" xfId="7735"/>
    <cellStyle name="Обычный 6 2 2 2 2 2 2 2 4 2 3 2" xfId="10627"/>
    <cellStyle name="Обычный 6 2 2 2 2 2 2 2 4 2 4" xfId="10628"/>
    <cellStyle name="Обычный 6 2 2 2 2 2 2 2 4 3" xfId="3645"/>
    <cellStyle name="Обычный 6 2 2 2 2 2 2 2 4 3 2" xfId="8763"/>
    <cellStyle name="Обычный 6 2 2 2 2 2 2 2 4 3 2 2" xfId="10629"/>
    <cellStyle name="Обычный 6 2 2 2 2 2 2 2 4 3 3" xfId="10630"/>
    <cellStyle name="Обычный 6 2 2 2 2 2 2 2 4 4" xfId="6707"/>
    <cellStyle name="Обычный 6 2 2 2 2 2 2 2 4 4 2" xfId="10631"/>
    <cellStyle name="Обычный 6 2 2 2 2 2 2 2 4 5" xfId="10632"/>
    <cellStyle name="Обычный 6 2 2 2 2 2 2 2 5" xfId="1197"/>
    <cellStyle name="Обычный 6 2 2 2 2 2 2 2 5 2" xfId="2306"/>
    <cellStyle name="Обычный 6 2 2 2 2 2 2 2 5 2 2" xfId="4844"/>
    <cellStyle name="Обычный 6 2 2 2 2 2 2 2 5 2 2 2" xfId="9962"/>
    <cellStyle name="Обычный 6 2 2 2 2 2 2 2 5 2 2 2 2" xfId="10633"/>
    <cellStyle name="Обычный 6 2 2 2 2 2 2 2 5 2 2 3" xfId="10634"/>
    <cellStyle name="Обычный 6 2 2 2 2 2 2 2 5 2 3" xfId="7906"/>
    <cellStyle name="Обычный 6 2 2 2 2 2 2 2 5 2 3 2" xfId="10635"/>
    <cellStyle name="Обычный 6 2 2 2 2 2 2 2 5 2 4" xfId="10636"/>
    <cellStyle name="Обычный 6 2 2 2 2 2 2 2 5 3" xfId="3816"/>
    <cellStyle name="Обычный 6 2 2 2 2 2 2 2 5 3 2" xfId="8934"/>
    <cellStyle name="Обычный 6 2 2 2 2 2 2 2 5 3 2 2" xfId="10637"/>
    <cellStyle name="Обычный 6 2 2 2 2 2 2 2 5 3 3" xfId="10638"/>
    <cellStyle name="Обычный 6 2 2 2 2 2 2 2 5 4" xfId="6878"/>
    <cellStyle name="Обычный 6 2 2 2 2 2 2 2 5 4 2" xfId="10639"/>
    <cellStyle name="Обычный 6 2 2 2 2 2 2 2 5 5" xfId="10640"/>
    <cellStyle name="Обычный 6 2 2 2 2 2 2 2 6" xfId="1371"/>
    <cellStyle name="Обычный 6 2 2 2 2 2 2 2 6 2" xfId="2477"/>
    <cellStyle name="Обычный 6 2 2 2 2 2 2 2 6 2 2" xfId="5015"/>
    <cellStyle name="Обычный 6 2 2 2 2 2 2 2 6 2 2 2" xfId="10133"/>
    <cellStyle name="Обычный 6 2 2 2 2 2 2 2 6 2 2 2 2" xfId="10641"/>
    <cellStyle name="Обычный 6 2 2 2 2 2 2 2 6 2 2 3" xfId="10642"/>
    <cellStyle name="Обычный 6 2 2 2 2 2 2 2 6 2 3" xfId="8077"/>
    <cellStyle name="Обычный 6 2 2 2 2 2 2 2 6 2 3 2" xfId="10643"/>
    <cellStyle name="Обычный 6 2 2 2 2 2 2 2 6 2 4" xfId="10644"/>
    <cellStyle name="Обычный 6 2 2 2 2 2 2 2 6 3" xfId="3987"/>
    <cellStyle name="Обычный 6 2 2 2 2 2 2 2 6 3 2" xfId="9105"/>
    <cellStyle name="Обычный 6 2 2 2 2 2 2 2 6 3 2 2" xfId="10645"/>
    <cellStyle name="Обычный 6 2 2 2 2 2 2 2 6 3 3" xfId="10646"/>
    <cellStyle name="Обычный 6 2 2 2 2 2 2 2 6 4" xfId="7049"/>
    <cellStyle name="Обычный 6 2 2 2 2 2 2 2 6 4 2" xfId="10647"/>
    <cellStyle name="Обычный 6 2 2 2 2 2 2 2 6 5" xfId="10648"/>
    <cellStyle name="Обычный 6 2 2 2 2 2 2 2 7" xfId="1542"/>
    <cellStyle name="Обычный 6 2 2 2 2 2 2 2 7 2" xfId="2648"/>
    <cellStyle name="Обычный 6 2 2 2 2 2 2 2 7 2 2" xfId="5186"/>
    <cellStyle name="Обычный 6 2 2 2 2 2 2 2 7 2 2 2" xfId="10304"/>
    <cellStyle name="Обычный 6 2 2 2 2 2 2 2 7 2 2 2 2" xfId="10649"/>
    <cellStyle name="Обычный 6 2 2 2 2 2 2 2 7 2 2 3" xfId="10650"/>
    <cellStyle name="Обычный 6 2 2 2 2 2 2 2 7 2 3" xfId="8248"/>
    <cellStyle name="Обычный 6 2 2 2 2 2 2 2 7 2 3 2" xfId="10651"/>
    <cellStyle name="Обычный 6 2 2 2 2 2 2 2 7 2 4" xfId="10652"/>
    <cellStyle name="Обычный 6 2 2 2 2 2 2 2 7 3" xfId="4158"/>
    <cellStyle name="Обычный 6 2 2 2 2 2 2 2 7 3 2" xfId="9276"/>
    <cellStyle name="Обычный 6 2 2 2 2 2 2 2 7 3 2 2" xfId="10653"/>
    <cellStyle name="Обычный 6 2 2 2 2 2 2 2 7 3 3" xfId="10654"/>
    <cellStyle name="Обычный 6 2 2 2 2 2 2 2 7 4" xfId="7220"/>
    <cellStyle name="Обычный 6 2 2 2 2 2 2 2 7 4 2" xfId="10655"/>
    <cellStyle name="Обычный 6 2 2 2 2 2 2 2 7 5" xfId="10656"/>
    <cellStyle name="Обычный 6 2 2 2 2 2 2 2 8" xfId="2960"/>
    <cellStyle name="Обычный 6 2 2 2 2 2 3" xfId="178"/>
    <cellStyle name="Обычный 6 2 2 2 2 2 3 2" xfId="179"/>
    <cellStyle name="Обычный 6 2 2 2 2 2 3 2 2" xfId="659"/>
    <cellStyle name="Обычный 6 2 2 2 2 2 3 2 2 2" xfId="1787"/>
    <cellStyle name="Обычный 6 2 2 2 2 2 3 2 2 2 2" xfId="4330"/>
    <cellStyle name="Обычный 6 2 2 2 2 2 3 2 2 2 2 2" xfId="9448"/>
    <cellStyle name="Обычный 6 2 2 2 2 2 3 2 2 2 2 2 2" xfId="10657"/>
    <cellStyle name="Обычный 6 2 2 2 2 2 3 2 2 2 2 3" xfId="10658"/>
    <cellStyle name="Обычный 6 2 2 2 2 2 3 2 2 2 3" xfId="7392"/>
    <cellStyle name="Обычный 6 2 2 2 2 2 3 2 2 2 3 2" xfId="10659"/>
    <cellStyle name="Обычный 6 2 2 2 2 2 3 2 2 2 4" xfId="10660"/>
    <cellStyle name="Обычный 6 2 2 2 2 2 3 2 2 3" xfId="3302"/>
    <cellStyle name="Обычный 6 2 2 2 2 2 3 2 2 3 2" xfId="8420"/>
    <cellStyle name="Обычный 6 2 2 2 2 2 3 2 2 3 2 2" xfId="10661"/>
    <cellStyle name="Обычный 6 2 2 2 2 2 3 2 2 3 3" xfId="10662"/>
    <cellStyle name="Обычный 6 2 2 2 2 2 3 2 2 4" xfId="6364"/>
    <cellStyle name="Обычный 6 2 2 2 2 2 3 2 2 4 2" xfId="10663"/>
    <cellStyle name="Обычный 6 2 2 2 2 2 3 2 2 5" xfId="10664"/>
    <cellStyle name="Обычный 6 2 2 2 2 2 3 2 3" xfId="846"/>
    <cellStyle name="Обычный 6 2 2 2 2 2 3 2 3 2" xfId="1965"/>
    <cellStyle name="Обычный 6 2 2 2 2 2 3 2 3 2 2" xfId="4503"/>
    <cellStyle name="Обычный 6 2 2 2 2 2 3 2 3 2 2 2" xfId="9621"/>
    <cellStyle name="Обычный 6 2 2 2 2 2 3 2 3 2 2 2 2" xfId="10665"/>
    <cellStyle name="Обычный 6 2 2 2 2 2 3 2 3 2 2 3" xfId="10666"/>
    <cellStyle name="Обычный 6 2 2 2 2 2 3 2 3 2 3" xfId="7565"/>
    <cellStyle name="Обычный 6 2 2 2 2 2 3 2 3 2 3 2" xfId="10667"/>
    <cellStyle name="Обычный 6 2 2 2 2 2 3 2 3 2 4" xfId="10668"/>
    <cellStyle name="Обычный 6 2 2 2 2 2 3 2 3 3" xfId="3475"/>
    <cellStyle name="Обычный 6 2 2 2 2 2 3 2 3 3 2" xfId="8593"/>
    <cellStyle name="Обычный 6 2 2 2 2 2 3 2 3 3 2 2" xfId="10669"/>
    <cellStyle name="Обычный 6 2 2 2 2 2 3 2 3 3 3" xfId="10670"/>
    <cellStyle name="Обычный 6 2 2 2 2 2 3 2 3 4" xfId="6537"/>
    <cellStyle name="Обычный 6 2 2 2 2 2 3 2 3 4 2" xfId="10671"/>
    <cellStyle name="Обычный 6 2 2 2 2 2 3 2 3 5" xfId="10672"/>
    <cellStyle name="Обычный 6 2 2 2 2 2 3 2 4" xfId="1017"/>
    <cellStyle name="Обычный 6 2 2 2 2 2 3 2 4 2" xfId="2136"/>
    <cellStyle name="Обычный 6 2 2 2 2 2 3 2 4 2 2" xfId="4674"/>
    <cellStyle name="Обычный 6 2 2 2 2 2 3 2 4 2 2 2" xfId="9792"/>
    <cellStyle name="Обычный 6 2 2 2 2 2 3 2 4 2 2 2 2" xfId="10673"/>
    <cellStyle name="Обычный 6 2 2 2 2 2 3 2 4 2 2 3" xfId="10674"/>
    <cellStyle name="Обычный 6 2 2 2 2 2 3 2 4 2 3" xfId="7736"/>
    <cellStyle name="Обычный 6 2 2 2 2 2 3 2 4 2 3 2" xfId="10675"/>
    <cellStyle name="Обычный 6 2 2 2 2 2 3 2 4 2 4" xfId="10676"/>
    <cellStyle name="Обычный 6 2 2 2 2 2 3 2 4 3" xfId="3646"/>
    <cellStyle name="Обычный 6 2 2 2 2 2 3 2 4 3 2" xfId="8764"/>
    <cellStyle name="Обычный 6 2 2 2 2 2 3 2 4 3 2 2" xfId="10677"/>
    <cellStyle name="Обычный 6 2 2 2 2 2 3 2 4 3 3" xfId="10678"/>
    <cellStyle name="Обычный 6 2 2 2 2 2 3 2 4 4" xfId="6708"/>
    <cellStyle name="Обычный 6 2 2 2 2 2 3 2 4 4 2" xfId="10679"/>
    <cellStyle name="Обычный 6 2 2 2 2 2 3 2 4 5" xfId="10680"/>
    <cellStyle name="Обычный 6 2 2 2 2 2 3 2 5" xfId="1198"/>
    <cellStyle name="Обычный 6 2 2 2 2 2 3 2 5 2" xfId="2307"/>
    <cellStyle name="Обычный 6 2 2 2 2 2 3 2 5 2 2" xfId="4845"/>
    <cellStyle name="Обычный 6 2 2 2 2 2 3 2 5 2 2 2" xfId="9963"/>
    <cellStyle name="Обычный 6 2 2 2 2 2 3 2 5 2 2 2 2" xfId="10681"/>
    <cellStyle name="Обычный 6 2 2 2 2 2 3 2 5 2 2 3" xfId="10682"/>
    <cellStyle name="Обычный 6 2 2 2 2 2 3 2 5 2 3" xfId="7907"/>
    <cellStyle name="Обычный 6 2 2 2 2 2 3 2 5 2 3 2" xfId="10683"/>
    <cellStyle name="Обычный 6 2 2 2 2 2 3 2 5 2 4" xfId="10684"/>
    <cellStyle name="Обычный 6 2 2 2 2 2 3 2 5 3" xfId="3817"/>
    <cellStyle name="Обычный 6 2 2 2 2 2 3 2 5 3 2" xfId="8935"/>
    <cellStyle name="Обычный 6 2 2 2 2 2 3 2 5 3 2 2" xfId="10685"/>
    <cellStyle name="Обычный 6 2 2 2 2 2 3 2 5 3 3" xfId="10686"/>
    <cellStyle name="Обычный 6 2 2 2 2 2 3 2 5 4" xfId="6879"/>
    <cellStyle name="Обычный 6 2 2 2 2 2 3 2 5 4 2" xfId="10687"/>
    <cellStyle name="Обычный 6 2 2 2 2 2 3 2 5 5" xfId="10688"/>
    <cellStyle name="Обычный 6 2 2 2 2 2 3 2 6" xfId="1372"/>
    <cellStyle name="Обычный 6 2 2 2 2 2 3 2 6 2" xfId="2478"/>
    <cellStyle name="Обычный 6 2 2 2 2 2 3 2 6 2 2" xfId="5016"/>
    <cellStyle name="Обычный 6 2 2 2 2 2 3 2 6 2 2 2" xfId="10134"/>
    <cellStyle name="Обычный 6 2 2 2 2 2 3 2 6 2 2 2 2" xfId="10689"/>
    <cellStyle name="Обычный 6 2 2 2 2 2 3 2 6 2 2 3" xfId="10690"/>
    <cellStyle name="Обычный 6 2 2 2 2 2 3 2 6 2 3" xfId="8078"/>
    <cellStyle name="Обычный 6 2 2 2 2 2 3 2 6 2 3 2" xfId="10691"/>
    <cellStyle name="Обычный 6 2 2 2 2 2 3 2 6 2 4" xfId="10692"/>
    <cellStyle name="Обычный 6 2 2 2 2 2 3 2 6 3" xfId="3988"/>
    <cellStyle name="Обычный 6 2 2 2 2 2 3 2 6 3 2" xfId="9106"/>
    <cellStyle name="Обычный 6 2 2 2 2 2 3 2 6 3 2 2" xfId="10693"/>
    <cellStyle name="Обычный 6 2 2 2 2 2 3 2 6 3 3" xfId="10694"/>
    <cellStyle name="Обычный 6 2 2 2 2 2 3 2 6 4" xfId="7050"/>
    <cellStyle name="Обычный 6 2 2 2 2 2 3 2 6 4 2" xfId="10695"/>
    <cellStyle name="Обычный 6 2 2 2 2 2 3 2 6 5" xfId="10696"/>
    <cellStyle name="Обычный 6 2 2 2 2 2 3 2 7" xfId="1543"/>
    <cellStyle name="Обычный 6 2 2 2 2 2 3 2 7 2" xfId="2649"/>
    <cellStyle name="Обычный 6 2 2 2 2 2 3 2 7 2 2" xfId="5187"/>
    <cellStyle name="Обычный 6 2 2 2 2 2 3 2 7 2 2 2" xfId="10305"/>
    <cellStyle name="Обычный 6 2 2 2 2 2 3 2 7 2 2 2 2" xfId="10697"/>
    <cellStyle name="Обычный 6 2 2 2 2 2 3 2 7 2 2 3" xfId="10698"/>
    <cellStyle name="Обычный 6 2 2 2 2 2 3 2 7 2 3" xfId="8249"/>
    <cellStyle name="Обычный 6 2 2 2 2 2 3 2 7 2 3 2" xfId="10699"/>
    <cellStyle name="Обычный 6 2 2 2 2 2 3 2 7 2 4" xfId="10700"/>
    <cellStyle name="Обычный 6 2 2 2 2 2 3 2 7 3" xfId="4159"/>
    <cellStyle name="Обычный 6 2 2 2 2 2 3 2 7 3 2" xfId="9277"/>
    <cellStyle name="Обычный 6 2 2 2 2 2 3 2 7 3 2 2" xfId="10701"/>
    <cellStyle name="Обычный 6 2 2 2 2 2 3 2 7 3 3" xfId="10702"/>
    <cellStyle name="Обычный 6 2 2 2 2 2 3 2 7 4" xfId="7221"/>
    <cellStyle name="Обычный 6 2 2 2 2 2 3 2 7 4 2" xfId="10703"/>
    <cellStyle name="Обычный 6 2 2 2 2 2 3 2 7 5" xfId="10704"/>
    <cellStyle name="Обычный 6 2 2 2 2 2 3 2 8" xfId="2961"/>
    <cellStyle name="Обычный 6 2 2 2 2 2 4" xfId="180"/>
    <cellStyle name="Обычный 6 2 2 2 2 2 4 2" xfId="660"/>
    <cellStyle name="Обычный 6 2 2 2 2 2 4 2 2" xfId="1788"/>
    <cellStyle name="Обычный 6 2 2 2 2 2 4 2 2 2" xfId="4331"/>
    <cellStyle name="Обычный 6 2 2 2 2 2 4 2 2 2 2" xfId="9449"/>
    <cellStyle name="Обычный 6 2 2 2 2 2 4 2 2 2 2 2" xfId="10705"/>
    <cellStyle name="Обычный 6 2 2 2 2 2 4 2 2 2 3" xfId="10706"/>
    <cellStyle name="Обычный 6 2 2 2 2 2 4 2 2 3" xfId="7393"/>
    <cellStyle name="Обычный 6 2 2 2 2 2 4 2 2 3 2" xfId="10707"/>
    <cellStyle name="Обычный 6 2 2 2 2 2 4 2 2 4" xfId="10708"/>
    <cellStyle name="Обычный 6 2 2 2 2 2 4 2 3" xfId="3303"/>
    <cellStyle name="Обычный 6 2 2 2 2 2 4 2 3 2" xfId="8421"/>
    <cellStyle name="Обычный 6 2 2 2 2 2 4 2 3 2 2" xfId="10709"/>
    <cellStyle name="Обычный 6 2 2 2 2 2 4 2 3 3" xfId="10710"/>
    <cellStyle name="Обычный 6 2 2 2 2 2 4 2 4" xfId="6365"/>
    <cellStyle name="Обычный 6 2 2 2 2 2 4 2 4 2" xfId="10711"/>
    <cellStyle name="Обычный 6 2 2 2 2 2 4 2 5" xfId="10712"/>
    <cellStyle name="Обычный 6 2 2 2 2 2 4 3" xfId="847"/>
    <cellStyle name="Обычный 6 2 2 2 2 2 4 3 2" xfId="1966"/>
    <cellStyle name="Обычный 6 2 2 2 2 2 4 3 2 2" xfId="4504"/>
    <cellStyle name="Обычный 6 2 2 2 2 2 4 3 2 2 2" xfId="9622"/>
    <cellStyle name="Обычный 6 2 2 2 2 2 4 3 2 2 2 2" xfId="10713"/>
    <cellStyle name="Обычный 6 2 2 2 2 2 4 3 2 2 3" xfId="10714"/>
    <cellStyle name="Обычный 6 2 2 2 2 2 4 3 2 3" xfId="7566"/>
    <cellStyle name="Обычный 6 2 2 2 2 2 4 3 2 3 2" xfId="10715"/>
    <cellStyle name="Обычный 6 2 2 2 2 2 4 3 2 4" xfId="10716"/>
    <cellStyle name="Обычный 6 2 2 2 2 2 4 3 3" xfId="3476"/>
    <cellStyle name="Обычный 6 2 2 2 2 2 4 3 3 2" xfId="8594"/>
    <cellStyle name="Обычный 6 2 2 2 2 2 4 3 3 2 2" xfId="10717"/>
    <cellStyle name="Обычный 6 2 2 2 2 2 4 3 3 3" xfId="10718"/>
    <cellStyle name="Обычный 6 2 2 2 2 2 4 3 4" xfId="6538"/>
    <cellStyle name="Обычный 6 2 2 2 2 2 4 3 4 2" xfId="10719"/>
    <cellStyle name="Обычный 6 2 2 2 2 2 4 3 5" xfId="10720"/>
    <cellStyle name="Обычный 6 2 2 2 2 2 4 4" xfId="1018"/>
    <cellStyle name="Обычный 6 2 2 2 2 2 4 4 2" xfId="2137"/>
    <cellStyle name="Обычный 6 2 2 2 2 2 4 4 2 2" xfId="4675"/>
    <cellStyle name="Обычный 6 2 2 2 2 2 4 4 2 2 2" xfId="9793"/>
    <cellStyle name="Обычный 6 2 2 2 2 2 4 4 2 2 2 2" xfId="10721"/>
    <cellStyle name="Обычный 6 2 2 2 2 2 4 4 2 2 3" xfId="10722"/>
    <cellStyle name="Обычный 6 2 2 2 2 2 4 4 2 3" xfId="7737"/>
    <cellStyle name="Обычный 6 2 2 2 2 2 4 4 2 3 2" xfId="10723"/>
    <cellStyle name="Обычный 6 2 2 2 2 2 4 4 2 4" xfId="10724"/>
    <cellStyle name="Обычный 6 2 2 2 2 2 4 4 3" xfId="3647"/>
    <cellStyle name="Обычный 6 2 2 2 2 2 4 4 3 2" xfId="8765"/>
    <cellStyle name="Обычный 6 2 2 2 2 2 4 4 3 2 2" xfId="10725"/>
    <cellStyle name="Обычный 6 2 2 2 2 2 4 4 3 3" xfId="10726"/>
    <cellStyle name="Обычный 6 2 2 2 2 2 4 4 4" xfId="6709"/>
    <cellStyle name="Обычный 6 2 2 2 2 2 4 4 4 2" xfId="10727"/>
    <cellStyle name="Обычный 6 2 2 2 2 2 4 4 5" xfId="10728"/>
    <cellStyle name="Обычный 6 2 2 2 2 2 4 5" xfId="1199"/>
    <cellStyle name="Обычный 6 2 2 2 2 2 4 5 2" xfId="2308"/>
    <cellStyle name="Обычный 6 2 2 2 2 2 4 5 2 2" xfId="4846"/>
    <cellStyle name="Обычный 6 2 2 2 2 2 4 5 2 2 2" xfId="9964"/>
    <cellStyle name="Обычный 6 2 2 2 2 2 4 5 2 2 2 2" xfId="10729"/>
    <cellStyle name="Обычный 6 2 2 2 2 2 4 5 2 2 3" xfId="10730"/>
    <cellStyle name="Обычный 6 2 2 2 2 2 4 5 2 3" xfId="7908"/>
    <cellStyle name="Обычный 6 2 2 2 2 2 4 5 2 3 2" xfId="10731"/>
    <cellStyle name="Обычный 6 2 2 2 2 2 4 5 2 4" xfId="10732"/>
    <cellStyle name="Обычный 6 2 2 2 2 2 4 5 3" xfId="3818"/>
    <cellStyle name="Обычный 6 2 2 2 2 2 4 5 3 2" xfId="8936"/>
    <cellStyle name="Обычный 6 2 2 2 2 2 4 5 3 2 2" xfId="10733"/>
    <cellStyle name="Обычный 6 2 2 2 2 2 4 5 3 3" xfId="10734"/>
    <cellStyle name="Обычный 6 2 2 2 2 2 4 5 4" xfId="6880"/>
    <cellStyle name="Обычный 6 2 2 2 2 2 4 5 4 2" xfId="10735"/>
    <cellStyle name="Обычный 6 2 2 2 2 2 4 5 5" xfId="10736"/>
    <cellStyle name="Обычный 6 2 2 2 2 2 4 6" xfId="1373"/>
    <cellStyle name="Обычный 6 2 2 2 2 2 4 6 2" xfId="2479"/>
    <cellStyle name="Обычный 6 2 2 2 2 2 4 6 2 2" xfId="5017"/>
    <cellStyle name="Обычный 6 2 2 2 2 2 4 6 2 2 2" xfId="10135"/>
    <cellStyle name="Обычный 6 2 2 2 2 2 4 6 2 2 2 2" xfId="10737"/>
    <cellStyle name="Обычный 6 2 2 2 2 2 4 6 2 2 3" xfId="10738"/>
    <cellStyle name="Обычный 6 2 2 2 2 2 4 6 2 3" xfId="8079"/>
    <cellStyle name="Обычный 6 2 2 2 2 2 4 6 2 3 2" xfId="10739"/>
    <cellStyle name="Обычный 6 2 2 2 2 2 4 6 2 4" xfId="10740"/>
    <cellStyle name="Обычный 6 2 2 2 2 2 4 6 3" xfId="3989"/>
    <cellStyle name="Обычный 6 2 2 2 2 2 4 6 3 2" xfId="9107"/>
    <cellStyle name="Обычный 6 2 2 2 2 2 4 6 3 2 2" xfId="10741"/>
    <cellStyle name="Обычный 6 2 2 2 2 2 4 6 3 3" xfId="10742"/>
    <cellStyle name="Обычный 6 2 2 2 2 2 4 6 4" xfId="7051"/>
    <cellStyle name="Обычный 6 2 2 2 2 2 4 6 4 2" xfId="10743"/>
    <cellStyle name="Обычный 6 2 2 2 2 2 4 6 5" xfId="10744"/>
    <cellStyle name="Обычный 6 2 2 2 2 2 4 7" xfId="1544"/>
    <cellStyle name="Обычный 6 2 2 2 2 2 4 7 2" xfId="2650"/>
    <cellStyle name="Обычный 6 2 2 2 2 2 4 7 2 2" xfId="5188"/>
    <cellStyle name="Обычный 6 2 2 2 2 2 4 7 2 2 2" xfId="10306"/>
    <cellStyle name="Обычный 6 2 2 2 2 2 4 7 2 2 2 2" xfId="10745"/>
    <cellStyle name="Обычный 6 2 2 2 2 2 4 7 2 2 3" xfId="10746"/>
    <cellStyle name="Обычный 6 2 2 2 2 2 4 7 2 3" xfId="8250"/>
    <cellStyle name="Обычный 6 2 2 2 2 2 4 7 2 3 2" xfId="10747"/>
    <cellStyle name="Обычный 6 2 2 2 2 2 4 7 2 4" xfId="10748"/>
    <cellStyle name="Обычный 6 2 2 2 2 2 4 7 3" xfId="4160"/>
    <cellStyle name="Обычный 6 2 2 2 2 2 4 7 3 2" xfId="9278"/>
    <cellStyle name="Обычный 6 2 2 2 2 2 4 7 3 2 2" xfId="10749"/>
    <cellStyle name="Обычный 6 2 2 2 2 2 4 7 3 3" xfId="10750"/>
    <cellStyle name="Обычный 6 2 2 2 2 2 4 7 4" xfId="7222"/>
    <cellStyle name="Обычный 6 2 2 2 2 2 4 7 4 2" xfId="10751"/>
    <cellStyle name="Обычный 6 2 2 2 2 2 4 7 5" xfId="10752"/>
    <cellStyle name="Обычный 6 2 2 2 2 2 4 8" xfId="2962"/>
    <cellStyle name="Обычный 6 2 2 2 2 3" xfId="181"/>
    <cellStyle name="Обычный 6 2 2 2 2 3 2" xfId="182"/>
    <cellStyle name="Обычный 6 2 2 2 2 3 2 2" xfId="661"/>
    <cellStyle name="Обычный 6 2 2 2 2 3 2 2 2" xfId="1789"/>
    <cellStyle name="Обычный 6 2 2 2 2 3 2 2 2 2" xfId="4332"/>
    <cellStyle name="Обычный 6 2 2 2 2 3 2 2 2 2 2" xfId="9450"/>
    <cellStyle name="Обычный 6 2 2 2 2 3 2 2 2 2 2 2" xfId="10753"/>
    <cellStyle name="Обычный 6 2 2 2 2 3 2 2 2 2 3" xfId="10754"/>
    <cellStyle name="Обычный 6 2 2 2 2 3 2 2 2 3" xfId="7394"/>
    <cellStyle name="Обычный 6 2 2 2 2 3 2 2 2 3 2" xfId="10755"/>
    <cellStyle name="Обычный 6 2 2 2 2 3 2 2 2 4" xfId="10756"/>
    <cellStyle name="Обычный 6 2 2 2 2 3 2 2 3" xfId="3304"/>
    <cellStyle name="Обычный 6 2 2 2 2 3 2 2 3 2" xfId="8422"/>
    <cellStyle name="Обычный 6 2 2 2 2 3 2 2 3 2 2" xfId="10757"/>
    <cellStyle name="Обычный 6 2 2 2 2 3 2 2 3 3" xfId="10758"/>
    <cellStyle name="Обычный 6 2 2 2 2 3 2 2 4" xfId="6366"/>
    <cellStyle name="Обычный 6 2 2 2 2 3 2 2 4 2" xfId="10759"/>
    <cellStyle name="Обычный 6 2 2 2 2 3 2 2 5" xfId="10760"/>
    <cellStyle name="Обычный 6 2 2 2 2 3 2 3" xfId="848"/>
    <cellStyle name="Обычный 6 2 2 2 2 3 2 3 2" xfId="1967"/>
    <cellStyle name="Обычный 6 2 2 2 2 3 2 3 2 2" xfId="4505"/>
    <cellStyle name="Обычный 6 2 2 2 2 3 2 3 2 2 2" xfId="9623"/>
    <cellStyle name="Обычный 6 2 2 2 2 3 2 3 2 2 2 2" xfId="10761"/>
    <cellStyle name="Обычный 6 2 2 2 2 3 2 3 2 2 3" xfId="10762"/>
    <cellStyle name="Обычный 6 2 2 2 2 3 2 3 2 3" xfId="7567"/>
    <cellStyle name="Обычный 6 2 2 2 2 3 2 3 2 3 2" xfId="10763"/>
    <cellStyle name="Обычный 6 2 2 2 2 3 2 3 2 4" xfId="10764"/>
    <cellStyle name="Обычный 6 2 2 2 2 3 2 3 3" xfId="3477"/>
    <cellStyle name="Обычный 6 2 2 2 2 3 2 3 3 2" xfId="8595"/>
    <cellStyle name="Обычный 6 2 2 2 2 3 2 3 3 2 2" xfId="10765"/>
    <cellStyle name="Обычный 6 2 2 2 2 3 2 3 3 3" xfId="10766"/>
    <cellStyle name="Обычный 6 2 2 2 2 3 2 3 4" xfId="6539"/>
    <cellStyle name="Обычный 6 2 2 2 2 3 2 3 4 2" xfId="10767"/>
    <cellStyle name="Обычный 6 2 2 2 2 3 2 3 5" xfId="10768"/>
    <cellStyle name="Обычный 6 2 2 2 2 3 2 4" xfId="1019"/>
    <cellStyle name="Обычный 6 2 2 2 2 3 2 4 2" xfId="2138"/>
    <cellStyle name="Обычный 6 2 2 2 2 3 2 4 2 2" xfId="4676"/>
    <cellStyle name="Обычный 6 2 2 2 2 3 2 4 2 2 2" xfId="9794"/>
    <cellStyle name="Обычный 6 2 2 2 2 3 2 4 2 2 2 2" xfId="10769"/>
    <cellStyle name="Обычный 6 2 2 2 2 3 2 4 2 2 3" xfId="10770"/>
    <cellStyle name="Обычный 6 2 2 2 2 3 2 4 2 3" xfId="7738"/>
    <cellStyle name="Обычный 6 2 2 2 2 3 2 4 2 3 2" xfId="10771"/>
    <cellStyle name="Обычный 6 2 2 2 2 3 2 4 2 4" xfId="10772"/>
    <cellStyle name="Обычный 6 2 2 2 2 3 2 4 3" xfId="3648"/>
    <cellStyle name="Обычный 6 2 2 2 2 3 2 4 3 2" xfId="8766"/>
    <cellStyle name="Обычный 6 2 2 2 2 3 2 4 3 2 2" xfId="10773"/>
    <cellStyle name="Обычный 6 2 2 2 2 3 2 4 3 3" xfId="10774"/>
    <cellStyle name="Обычный 6 2 2 2 2 3 2 4 4" xfId="6710"/>
    <cellStyle name="Обычный 6 2 2 2 2 3 2 4 4 2" xfId="10775"/>
    <cellStyle name="Обычный 6 2 2 2 2 3 2 4 5" xfId="10776"/>
    <cellStyle name="Обычный 6 2 2 2 2 3 2 5" xfId="1200"/>
    <cellStyle name="Обычный 6 2 2 2 2 3 2 5 2" xfId="2309"/>
    <cellStyle name="Обычный 6 2 2 2 2 3 2 5 2 2" xfId="4847"/>
    <cellStyle name="Обычный 6 2 2 2 2 3 2 5 2 2 2" xfId="9965"/>
    <cellStyle name="Обычный 6 2 2 2 2 3 2 5 2 2 2 2" xfId="10777"/>
    <cellStyle name="Обычный 6 2 2 2 2 3 2 5 2 2 3" xfId="10778"/>
    <cellStyle name="Обычный 6 2 2 2 2 3 2 5 2 3" xfId="7909"/>
    <cellStyle name="Обычный 6 2 2 2 2 3 2 5 2 3 2" xfId="10779"/>
    <cellStyle name="Обычный 6 2 2 2 2 3 2 5 2 4" xfId="10780"/>
    <cellStyle name="Обычный 6 2 2 2 2 3 2 5 3" xfId="3819"/>
    <cellStyle name="Обычный 6 2 2 2 2 3 2 5 3 2" xfId="8937"/>
    <cellStyle name="Обычный 6 2 2 2 2 3 2 5 3 2 2" xfId="10781"/>
    <cellStyle name="Обычный 6 2 2 2 2 3 2 5 3 3" xfId="10782"/>
    <cellStyle name="Обычный 6 2 2 2 2 3 2 5 4" xfId="6881"/>
    <cellStyle name="Обычный 6 2 2 2 2 3 2 5 4 2" xfId="10783"/>
    <cellStyle name="Обычный 6 2 2 2 2 3 2 5 5" xfId="10784"/>
    <cellStyle name="Обычный 6 2 2 2 2 3 2 6" xfId="1374"/>
    <cellStyle name="Обычный 6 2 2 2 2 3 2 6 2" xfId="2480"/>
    <cellStyle name="Обычный 6 2 2 2 2 3 2 6 2 2" xfId="5018"/>
    <cellStyle name="Обычный 6 2 2 2 2 3 2 6 2 2 2" xfId="10136"/>
    <cellStyle name="Обычный 6 2 2 2 2 3 2 6 2 2 2 2" xfId="10785"/>
    <cellStyle name="Обычный 6 2 2 2 2 3 2 6 2 2 3" xfId="10786"/>
    <cellStyle name="Обычный 6 2 2 2 2 3 2 6 2 3" xfId="8080"/>
    <cellStyle name="Обычный 6 2 2 2 2 3 2 6 2 3 2" xfId="10787"/>
    <cellStyle name="Обычный 6 2 2 2 2 3 2 6 2 4" xfId="10788"/>
    <cellStyle name="Обычный 6 2 2 2 2 3 2 6 3" xfId="3990"/>
    <cellStyle name="Обычный 6 2 2 2 2 3 2 6 3 2" xfId="9108"/>
    <cellStyle name="Обычный 6 2 2 2 2 3 2 6 3 2 2" xfId="10789"/>
    <cellStyle name="Обычный 6 2 2 2 2 3 2 6 3 3" xfId="10790"/>
    <cellStyle name="Обычный 6 2 2 2 2 3 2 6 4" xfId="7052"/>
    <cellStyle name="Обычный 6 2 2 2 2 3 2 6 4 2" xfId="10791"/>
    <cellStyle name="Обычный 6 2 2 2 2 3 2 6 5" xfId="10792"/>
    <cellStyle name="Обычный 6 2 2 2 2 3 2 7" xfId="1545"/>
    <cellStyle name="Обычный 6 2 2 2 2 3 2 7 2" xfId="2651"/>
    <cellStyle name="Обычный 6 2 2 2 2 3 2 7 2 2" xfId="5189"/>
    <cellStyle name="Обычный 6 2 2 2 2 3 2 7 2 2 2" xfId="10307"/>
    <cellStyle name="Обычный 6 2 2 2 2 3 2 7 2 2 2 2" xfId="10793"/>
    <cellStyle name="Обычный 6 2 2 2 2 3 2 7 2 2 3" xfId="10794"/>
    <cellStyle name="Обычный 6 2 2 2 2 3 2 7 2 3" xfId="8251"/>
    <cellStyle name="Обычный 6 2 2 2 2 3 2 7 2 3 2" xfId="10795"/>
    <cellStyle name="Обычный 6 2 2 2 2 3 2 7 2 4" xfId="10796"/>
    <cellStyle name="Обычный 6 2 2 2 2 3 2 7 3" xfId="4161"/>
    <cellStyle name="Обычный 6 2 2 2 2 3 2 7 3 2" xfId="9279"/>
    <cellStyle name="Обычный 6 2 2 2 2 3 2 7 3 2 2" xfId="10797"/>
    <cellStyle name="Обычный 6 2 2 2 2 3 2 7 3 3" xfId="10798"/>
    <cellStyle name="Обычный 6 2 2 2 2 3 2 7 4" xfId="7223"/>
    <cellStyle name="Обычный 6 2 2 2 2 3 2 7 4 2" xfId="10799"/>
    <cellStyle name="Обычный 6 2 2 2 2 3 2 7 5" xfId="10800"/>
    <cellStyle name="Обычный 6 2 2 2 2 3 2 8" xfId="2963"/>
    <cellStyle name="Обычный 6 2 2 2 2 4" xfId="183"/>
    <cellStyle name="Обычный 6 2 2 2 2 4 2" xfId="184"/>
    <cellStyle name="Обычный 6 2 2 2 2 4 2 2" xfId="662"/>
    <cellStyle name="Обычный 6 2 2 2 2 4 2 2 2" xfId="1790"/>
    <cellStyle name="Обычный 6 2 2 2 2 4 2 2 2 2" xfId="4333"/>
    <cellStyle name="Обычный 6 2 2 2 2 4 2 2 2 2 2" xfId="9451"/>
    <cellStyle name="Обычный 6 2 2 2 2 4 2 2 2 2 2 2" xfId="10801"/>
    <cellStyle name="Обычный 6 2 2 2 2 4 2 2 2 2 3" xfId="10802"/>
    <cellStyle name="Обычный 6 2 2 2 2 4 2 2 2 3" xfId="7395"/>
    <cellStyle name="Обычный 6 2 2 2 2 4 2 2 2 3 2" xfId="10803"/>
    <cellStyle name="Обычный 6 2 2 2 2 4 2 2 2 4" xfId="10804"/>
    <cellStyle name="Обычный 6 2 2 2 2 4 2 2 3" xfId="3305"/>
    <cellStyle name="Обычный 6 2 2 2 2 4 2 2 3 2" xfId="8423"/>
    <cellStyle name="Обычный 6 2 2 2 2 4 2 2 3 2 2" xfId="10805"/>
    <cellStyle name="Обычный 6 2 2 2 2 4 2 2 3 3" xfId="10806"/>
    <cellStyle name="Обычный 6 2 2 2 2 4 2 2 4" xfId="6367"/>
    <cellStyle name="Обычный 6 2 2 2 2 4 2 2 4 2" xfId="10807"/>
    <cellStyle name="Обычный 6 2 2 2 2 4 2 2 5" xfId="10808"/>
    <cellStyle name="Обычный 6 2 2 2 2 4 2 3" xfId="849"/>
    <cellStyle name="Обычный 6 2 2 2 2 4 2 3 2" xfId="1968"/>
    <cellStyle name="Обычный 6 2 2 2 2 4 2 3 2 2" xfId="4506"/>
    <cellStyle name="Обычный 6 2 2 2 2 4 2 3 2 2 2" xfId="9624"/>
    <cellStyle name="Обычный 6 2 2 2 2 4 2 3 2 2 2 2" xfId="10809"/>
    <cellStyle name="Обычный 6 2 2 2 2 4 2 3 2 2 3" xfId="10810"/>
    <cellStyle name="Обычный 6 2 2 2 2 4 2 3 2 3" xfId="7568"/>
    <cellStyle name="Обычный 6 2 2 2 2 4 2 3 2 3 2" xfId="10811"/>
    <cellStyle name="Обычный 6 2 2 2 2 4 2 3 2 4" xfId="10812"/>
    <cellStyle name="Обычный 6 2 2 2 2 4 2 3 3" xfId="3478"/>
    <cellStyle name="Обычный 6 2 2 2 2 4 2 3 3 2" xfId="8596"/>
    <cellStyle name="Обычный 6 2 2 2 2 4 2 3 3 2 2" xfId="10813"/>
    <cellStyle name="Обычный 6 2 2 2 2 4 2 3 3 3" xfId="10814"/>
    <cellStyle name="Обычный 6 2 2 2 2 4 2 3 4" xfId="6540"/>
    <cellStyle name="Обычный 6 2 2 2 2 4 2 3 4 2" xfId="10815"/>
    <cellStyle name="Обычный 6 2 2 2 2 4 2 3 5" xfId="10816"/>
    <cellStyle name="Обычный 6 2 2 2 2 4 2 4" xfId="1020"/>
    <cellStyle name="Обычный 6 2 2 2 2 4 2 4 2" xfId="2139"/>
    <cellStyle name="Обычный 6 2 2 2 2 4 2 4 2 2" xfId="4677"/>
    <cellStyle name="Обычный 6 2 2 2 2 4 2 4 2 2 2" xfId="9795"/>
    <cellStyle name="Обычный 6 2 2 2 2 4 2 4 2 2 2 2" xfId="10817"/>
    <cellStyle name="Обычный 6 2 2 2 2 4 2 4 2 2 3" xfId="10818"/>
    <cellStyle name="Обычный 6 2 2 2 2 4 2 4 2 3" xfId="7739"/>
    <cellStyle name="Обычный 6 2 2 2 2 4 2 4 2 3 2" xfId="10819"/>
    <cellStyle name="Обычный 6 2 2 2 2 4 2 4 2 4" xfId="10820"/>
    <cellStyle name="Обычный 6 2 2 2 2 4 2 4 3" xfId="3649"/>
    <cellStyle name="Обычный 6 2 2 2 2 4 2 4 3 2" xfId="8767"/>
    <cellStyle name="Обычный 6 2 2 2 2 4 2 4 3 2 2" xfId="10821"/>
    <cellStyle name="Обычный 6 2 2 2 2 4 2 4 3 3" xfId="10822"/>
    <cellStyle name="Обычный 6 2 2 2 2 4 2 4 4" xfId="6711"/>
    <cellStyle name="Обычный 6 2 2 2 2 4 2 4 4 2" xfId="10823"/>
    <cellStyle name="Обычный 6 2 2 2 2 4 2 4 5" xfId="10824"/>
    <cellStyle name="Обычный 6 2 2 2 2 4 2 5" xfId="1201"/>
    <cellStyle name="Обычный 6 2 2 2 2 4 2 5 2" xfId="2310"/>
    <cellStyle name="Обычный 6 2 2 2 2 4 2 5 2 2" xfId="4848"/>
    <cellStyle name="Обычный 6 2 2 2 2 4 2 5 2 2 2" xfId="9966"/>
    <cellStyle name="Обычный 6 2 2 2 2 4 2 5 2 2 2 2" xfId="10825"/>
    <cellStyle name="Обычный 6 2 2 2 2 4 2 5 2 2 3" xfId="10826"/>
    <cellStyle name="Обычный 6 2 2 2 2 4 2 5 2 3" xfId="7910"/>
    <cellStyle name="Обычный 6 2 2 2 2 4 2 5 2 3 2" xfId="10827"/>
    <cellStyle name="Обычный 6 2 2 2 2 4 2 5 2 4" xfId="10828"/>
    <cellStyle name="Обычный 6 2 2 2 2 4 2 5 3" xfId="3820"/>
    <cellStyle name="Обычный 6 2 2 2 2 4 2 5 3 2" xfId="8938"/>
    <cellStyle name="Обычный 6 2 2 2 2 4 2 5 3 2 2" xfId="10829"/>
    <cellStyle name="Обычный 6 2 2 2 2 4 2 5 3 3" xfId="10830"/>
    <cellStyle name="Обычный 6 2 2 2 2 4 2 5 4" xfId="6882"/>
    <cellStyle name="Обычный 6 2 2 2 2 4 2 5 4 2" xfId="10831"/>
    <cellStyle name="Обычный 6 2 2 2 2 4 2 5 5" xfId="10832"/>
    <cellStyle name="Обычный 6 2 2 2 2 4 2 6" xfId="1375"/>
    <cellStyle name="Обычный 6 2 2 2 2 4 2 6 2" xfId="2481"/>
    <cellStyle name="Обычный 6 2 2 2 2 4 2 6 2 2" xfId="5019"/>
    <cellStyle name="Обычный 6 2 2 2 2 4 2 6 2 2 2" xfId="10137"/>
    <cellStyle name="Обычный 6 2 2 2 2 4 2 6 2 2 2 2" xfId="10833"/>
    <cellStyle name="Обычный 6 2 2 2 2 4 2 6 2 2 3" xfId="10834"/>
    <cellStyle name="Обычный 6 2 2 2 2 4 2 6 2 3" xfId="8081"/>
    <cellStyle name="Обычный 6 2 2 2 2 4 2 6 2 3 2" xfId="10835"/>
    <cellStyle name="Обычный 6 2 2 2 2 4 2 6 2 4" xfId="10836"/>
    <cellStyle name="Обычный 6 2 2 2 2 4 2 6 3" xfId="3991"/>
    <cellStyle name="Обычный 6 2 2 2 2 4 2 6 3 2" xfId="9109"/>
    <cellStyle name="Обычный 6 2 2 2 2 4 2 6 3 2 2" xfId="10837"/>
    <cellStyle name="Обычный 6 2 2 2 2 4 2 6 3 3" xfId="10838"/>
    <cellStyle name="Обычный 6 2 2 2 2 4 2 6 4" xfId="7053"/>
    <cellStyle name="Обычный 6 2 2 2 2 4 2 6 4 2" xfId="10839"/>
    <cellStyle name="Обычный 6 2 2 2 2 4 2 6 5" xfId="10840"/>
    <cellStyle name="Обычный 6 2 2 2 2 4 2 7" xfId="1546"/>
    <cellStyle name="Обычный 6 2 2 2 2 4 2 7 2" xfId="2652"/>
    <cellStyle name="Обычный 6 2 2 2 2 4 2 7 2 2" xfId="5190"/>
    <cellStyle name="Обычный 6 2 2 2 2 4 2 7 2 2 2" xfId="10308"/>
    <cellStyle name="Обычный 6 2 2 2 2 4 2 7 2 2 2 2" xfId="10841"/>
    <cellStyle name="Обычный 6 2 2 2 2 4 2 7 2 2 3" xfId="10842"/>
    <cellStyle name="Обычный 6 2 2 2 2 4 2 7 2 3" xfId="8252"/>
    <cellStyle name="Обычный 6 2 2 2 2 4 2 7 2 3 2" xfId="10843"/>
    <cellStyle name="Обычный 6 2 2 2 2 4 2 7 2 4" xfId="10844"/>
    <cellStyle name="Обычный 6 2 2 2 2 4 2 7 3" xfId="4162"/>
    <cellStyle name="Обычный 6 2 2 2 2 4 2 7 3 2" xfId="9280"/>
    <cellStyle name="Обычный 6 2 2 2 2 4 2 7 3 2 2" xfId="10845"/>
    <cellStyle name="Обычный 6 2 2 2 2 4 2 7 3 3" xfId="10846"/>
    <cellStyle name="Обычный 6 2 2 2 2 4 2 7 4" xfId="7224"/>
    <cellStyle name="Обычный 6 2 2 2 2 4 2 7 4 2" xfId="10847"/>
    <cellStyle name="Обычный 6 2 2 2 2 4 2 7 5" xfId="10848"/>
    <cellStyle name="Обычный 6 2 2 2 2 4 2 8" xfId="2964"/>
    <cellStyle name="Обычный 6 2 2 2 2 5" xfId="185"/>
    <cellStyle name="Обычный 6 2 2 2 2 5 2" xfId="663"/>
    <cellStyle name="Обычный 6 2 2 2 2 5 2 2" xfId="1791"/>
    <cellStyle name="Обычный 6 2 2 2 2 5 2 2 2" xfId="4334"/>
    <cellStyle name="Обычный 6 2 2 2 2 5 2 2 2 2" xfId="9452"/>
    <cellStyle name="Обычный 6 2 2 2 2 5 2 2 2 2 2" xfId="10849"/>
    <cellStyle name="Обычный 6 2 2 2 2 5 2 2 2 3" xfId="10850"/>
    <cellStyle name="Обычный 6 2 2 2 2 5 2 2 3" xfId="7396"/>
    <cellStyle name="Обычный 6 2 2 2 2 5 2 2 3 2" xfId="10851"/>
    <cellStyle name="Обычный 6 2 2 2 2 5 2 2 4" xfId="10852"/>
    <cellStyle name="Обычный 6 2 2 2 2 5 2 3" xfId="3306"/>
    <cellStyle name="Обычный 6 2 2 2 2 5 2 3 2" xfId="8424"/>
    <cellStyle name="Обычный 6 2 2 2 2 5 2 3 2 2" xfId="10853"/>
    <cellStyle name="Обычный 6 2 2 2 2 5 2 3 3" xfId="10854"/>
    <cellStyle name="Обычный 6 2 2 2 2 5 2 4" xfId="6368"/>
    <cellStyle name="Обычный 6 2 2 2 2 5 2 4 2" xfId="10855"/>
    <cellStyle name="Обычный 6 2 2 2 2 5 2 5" xfId="10856"/>
    <cellStyle name="Обычный 6 2 2 2 2 5 3" xfId="850"/>
    <cellStyle name="Обычный 6 2 2 2 2 5 3 2" xfId="1969"/>
    <cellStyle name="Обычный 6 2 2 2 2 5 3 2 2" xfId="4507"/>
    <cellStyle name="Обычный 6 2 2 2 2 5 3 2 2 2" xfId="9625"/>
    <cellStyle name="Обычный 6 2 2 2 2 5 3 2 2 2 2" xfId="10857"/>
    <cellStyle name="Обычный 6 2 2 2 2 5 3 2 2 3" xfId="10858"/>
    <cellStyle name="Обычный 6 2 2 2 2 5 3 2 3" xfId="7569"/>
    <cellStyle name="Обычный 6 2 2 2 2 5 3 2 3 2" xfId="10859"/>
    <cellStyle name="Обычный 6 2 2 2 2 5 3 2 4" xfId="10860"/>
    <cellStyle name="Обычный 6 2 2 2 2 5 3 3" xfId="3479"/>
    <cellStyle name="Обычный 6 2 2 2 2 5 3 3 2" xfId="8597"/>
    <cellStyle name="Обычный 6 2 2 2 2 5 3 3 2 2" xfId="10861"/>
    <cellStyle name="Обычный 6 2 2 2 2 5 3 3 3" xfId="10862"/>
    <cellStyle name="Обычный 6 2 2 2 2 5 3 4" xfId="6541"/>
    <cellStyle name="Обычный 6 2 2 2 2 5 3 4 2" xfId="10863"/>
    <cellStyle name="Обычный 6 2 2 2 2 5 3 5" xfId="10864"/>
    <cellStyle name="Обычный 6 2 2 2 2 5 4" xfId="1021"/>
    <cellStyle name="Обычный 6 2 2 2 2 5 4 2" xfId="2140"/>
    <cellStyle name="Обычный 6 2 2 2 2 5 4 2 2" xfId="4678"/>
    <cellStyle name="Обычный 6 2 2 2 2 5 4 2 2 2" xfId="9796"/>
    <cellStyle name="Обычный 6 2 2 2 2 5 4 2 2 2 2" xfId="10865"/>
    <cellStyle name="Обычный 6 2 2 2 2 5 4 2 2 3" xfId="10866"/>
    <cellStyle name="Обычный 6 2 2 2 2 5 4 2 3" xfId="7740"/>
    <cellStyle name="Обычный 6 2 2 2 2 5 4 2 3 2" xfId="10867"/>
    <cellStyle name="Обычный 6 2 2 2 2 5 4 2 4" xfId="10868"/>
    <cellStyle name="Обычный 6 2 2 2 2 5 4 3" xfId="3650"/>
    <cellStyle name="Обычный 6 2 2 2 2 5 4 3 2" xfId="8768"/>
    <cellStyle name="Обычный 6 2 2 2 2 5 4 3 2 2" xfId="10869"/>
    <cellStyle name="Обычный 6 2 2 2 2 5 4 3 3" xfId="10870"/>
    <cellStyle name="Обычный 6 2 2 2 2 5 4 4" xfId="6712"/>
    <cellStyle name="Обычный 6 2 2 2 2 5 4 4 2" xfId="10871"/>
    <cellStyle name="Обычный 6 2 2 2 2 5 4 5" xfId="10872"/>
    <cellStyle name="Обычный 6 2 2 2 2 5 5" xfId="1202"/>
    <cellStyle name="Обычный 6 2 2 2 2 5 5 2" xfId="2311"/>
    <cellStyle name="Обычный 6 2 2 2 2 5 5 2 2" xfId="4849"/>
    <cellStyle name="Обычный 6 2 2 2 2 5 5 2 2 2" xfId="9967"/>
    <cellStyle name="Обычный 6 2 2 2 2 5 5 2 2 2 2" xfId="10873"/>
    <cellStyle name="Обычный 6 2 2 2 2 5 5 2 2 3" xfId="10874"/>
    <cellStyle name="Обычный 6 2 2 2 2 5 5 2 3" xfId="7911"/>
    <cellStyle name="Обычный 6 2 2 2 2 5 5 2 3 2" xfId="10875"/>
    <cellStyle name="Обычный 6 2 2 2 2 5 5 2 4" xfId="10876"/>
    <cellStyle name="Обычный 6 2 2 2 2 5 5 3" xfId="3821"/>
    <cellStyle name="Обычный 6 2 2 2 2 5 5 3 2" xfId="8939"/>
    <cellStyle name="Обычный 6 2 2 2 2 5 5 3 2 2" xfId="10877"/>
    <cellStyle name="Обычный 6 2 2 2 2 5 5 3 3" xfId="10878"/>
    <cellStyle name="Обычный 6 2 2 2 2 5 5 4" xfId="6883"/>
    <cellStyle name="Обычный 6 2 2 2 2 5 5 4 2" xfId="10879"/>
    <cellStyle name="Обычный 6 2 2 2 2 5 5 5" xfId="10880"/>
    <cellStyle name="Обычный 6 2 2 2 2 5 6" xfId="1376"/>
    <cellStyle name="Обычный 6 2 2 2 2 5 6 2" xfId="2482"/>
    <cellStyle name="Обычный 6 2 2 2 2 5 6 2 2" xfId="5020"/>
    <cellStyle name="Обычный 6 2 2 2 2 5 6 2 2 2" xfId="10138"/>
    <cellStyle name="Обычный 6 2 2 2 2 5 6 2 2 2 2" xfId="10881"/>
    <cellStyle name="Обычный 6 2 2 2 2 5 6 2 2 3" xfId="10882"/>
    <cellStyle name="Обычный 6 2 2 2 2 5 6 2 3" xfId="8082"/>
    <cellStyle name="Обычный 6 2 2 2 2 5 6 2 3 2" xfId="10883"/>
    <cellStyle name="Обычный 6 2 2 2 2 5 6 2 4" xfId="10884"/>
    <cellStyle name="Обычный 6 2 2 2 2 5 6 3" xfId="3992"/>
    <cellStyle name="Обычный 6 2 2 2 2 5 6 3 2" xfId="9110"/>
    <cellStyle name="Обычный 6 2 2 2 2 5 6 3 2 2" xfId="10885"/>
    <cellStyle name="Обычный 6 2 2 2 2 5 6 3 3" xfId="10886"/>
    <cellStyle name="Обычный 6 2 2 2 2 5 6 4" xfId="7054"/>
    <cellStyle name="Обычный 6 2 2 2 2 5 6 4 2" xfId="10887"/>
    <cellStyle name="Обычный 6 2 2 2 2 5 6 5" xfId="10888"/>
    <cellStyle name="Обычный 6 2 2 2 2 5 7" xfId="1547"/>
    <cellStyle name="Обычный 6 2 2 2 2 5 7 2" xfId="2653"/>
    <cellStyle name="Обычный 6 2 2 2 2 5 7 2 2" xfId="5191"/>
    <cellStyle name="Обычный 6 2 2 2 2 5 7 2 2 2" xfId="10309"/>
    <cellStyle name="Обычный 6 2 2 2 2 5 7 2 2 2 2" xfId="10889"/>
    <cellStyle name="Обычный 6 2 2 2 2 5 7 2 2 3" xfId="10890"/>
    <cellStyle name="Обычный 6 2 2 2 2 5 7 2 3" xfId="8253"/>
    <cellStyle name="Обычный 6 2 2 2 2 5 7 2 3 2" xfId="10891"/>
    <cellStyle name="Обычный 6 2 2 2 2 5 7 2 4" xfId="10892"/>
    <cellStyle name="Обычный 6 2 2 2 2 5 7 3" xfId="4163"/>
    <cellStyle name="Обычный 6 2 2 2 2 5 7 3 2" xfId="9281"/>
    <cellStyle name="Обычный 6 2 2 2 2 5 7 3 2 2" xfId="10893"/>
    <cellStyle name="Обычный 6 2 2 2 2 5 7 3 3" xfId="10894"/>
    <cellStyle name="Обычный 6 2 2 2 2 5 7 4" xfId="7225"/>
    <cellStyle name="Обычный 6 2 2 2 2 5 7 4 2" xfId="10895"/>
    <cellStyle name="Обычный 6 2 2 2 2 5 7 5" xfId="10896"/>
    <cellStyle name="Обычный 6 2 2 2 2 5 8" xfId="2965"/>
    <cellStyle name="Обычный 6 2 2 2 3" xfId="186"/>
    <cellStyle name="Обычный 6 2 2 2 3 2" xfId="187"/>
    <cellStyle name="Обычный 6 2 2 2 3 2 2" xfId="188"/>
    <cellStyle name="Обычный 6 2 2 2 3 2 2 2" xfId="664"/>
    <cellStyle name="Обычный 6 2 2 2 3 2 2 2 2" xfId="1792"/>
    <cellStyle name="Обычный 6 2 2 2 3 2 2 2 2 2" xfId="4335"/>
    <cellStyle name="Обычный 6 2 2 2 3 2 2 2 2 2 2" xfId="9453"/>
    <cellStyle name="Обычный 6 2 2 2 3 2 2 2 2 2 2 2" xfId="10897"/>
    <cellStyle name="Обычный 6 2 2 2 3 2 2 2 2 2 3" xfId="10898"/>
    <cellStyle name="Обычный 6 2 2 2 3 2 2 2 2 3" xfId="7397"/>
    <cellStyle name="Обычный 6 2 2 2 3 2 2 2 2 3 2" xfId="10899"/>
    <cellStyle name="Обычный 6 2 2 2 3 2 2 2 2 4" xfId="10900"/>
    <cellStyle name="Обычный 6 2 2 2 3 2 2 2 3" xfId="3307"/>
    <cellStyle name="Обычный 6 2 2 2 3 2 2 2 3 2" xfId="8425"/>
    <cellStyle name="Обычный 6 2 2 2 3 2 2 2 3 2 2" xfId="10901"/>
    <cellStyle name="Обычный 6 2 2 2 3 2 2 2 3 3" xfId="10902"/>
    <cellStyle name="Обычный 6 2 2 2 3 2 2 2 4" xfId="6369"/>
    <cellStyle name="Обычный 6 2 2 2 3 2 2 2 4 2" xfId="10903"/>
    <cellStyle name="Обычный 6 2 2 2 3 2 2 2 5" xfId="10904"/>
    <cellStyle name="Обычный 6 2 2 2 3 2 2 3" xfId="851"/>
    <cellStyle name="Обычный 6 2 2 2 3 2 2 3 2" xfId="1970"/>
    <cellStyle name="Обычный 6 2 2 2 3 2 2 3 2 2" xfId="4508"/>
    <cellStyle name="Обычный 6 2 2 2 3 2 2 3 2 2 2" xfId="9626"/>
    <cellStyle name="Обычный 6 2 2 2 3 2 2 3 2 2 2 2" xfId="10905"/>
    <cellStyle name="Обычный 6 2 2 2 3 2 2 3 2 2 3" xfId="10906"/>
    <cellStyle name="Обычный 6 2 2 2 3 2 2 3 2 3" xfId="7570"/>
    <cellStyle name="Обычный 6 2 2 2 3 2 2 3 2 3 2" xfId="10907"/>
    <cellStyle name="Обычный 6 2 2 2 3 2 2 3 2 4" xfId="10908"/>
    <cellStyle name="Обычный 6 2 2 2 3 2 2 3 3" xfId="3480"/>
    <cellStyle name="Обычный 6 2 2 2 3 2 2 3 3 2" xfId="8598"/>
    <cellStyle name="Обычный 6 2 2 2 3 2 2 3 3 2 2" xfId="10909"/>
    <cellStyle name="Обычный 6 2 2 2 3 2 2 3 3 3" xfId="10910"/>
    <cellStyle name="Обычный 6 2 2 2 3 2 2 3 4" xfId="6542"/>
    <cellStyle name="Обычный 6 2 2 2 3 2 2 3 4 2" xfId="10911"/>
    <cellStyle name="Обычный 6 2 2 2 3 2 2 3 5" xfId="10912"/>
    <cellStyle name="Обычный 6 2 2 2 3 2 2 4" xfId="1022"/>
    <cellStyle name="Обычный 6 2 2 2 3 2 2 4 2" xfId="2141"/>
    <cellStyle name="Обычный 6 2 2 2 3 2 2 4 2 2" xfId="4679"/>
    <cellStyle name="Обычный 6 2 2 2 3 2 2 4 2 2 2" xfId="9797"/>
    <cellStyle name="Обычный 6 2 2 2 3 2 2 4 2 2 2 2" xfId="10913"/>
    <cellStyle name="Обычный 6 2 2 2 3 2 2 4 2 2 3" xfId="10914"/>
    <cellStyle name="Обычный 6 2 2 2 3 2 2 4 2 3" xfId="7741"/>
    <cellStyle name="Обычный 6 2 2 2 3 2 2 4 2 3 2" xfId="10915"/>
    <cellStyle name="Обычный 6 2 2 2 3 2 2 4 2 4" xfId="10916"/>
    <cellStyle name="Обычный 6 2 2 2 3 2 2 4 3" xfId="3651"/>
    <cellStyle name="Обычный 6 2 2 2 3 2 2 4 3 2" xfId="8769"/>
    <cellStyle name="Обычный 6 2 2 2 3 2 2 4 3 2 2" xfId="10917"/>
    <cellStyle name="Обычный 6 2 2 2 3 2 2 4 3 3" xfId="10918"/>
    <cellStyle name="Обычный 6 2 2 2 3 2 2 4 4" xfId="6713"/>
    <cellStyle name="Обычный 6 2 2 2 3 2 2 4 4 2" xfId="10919"/>
    <cellStyle name="Обычный 6 2 2 2 3 2 2 4 5" xfId="10920"/>
    <cellStyle name="Обычный 6 2 2 2 3 2 2 5" xfId="1203"/>
    <cellStyle name="Обычный 6 2 2 2 3 2 2 5 2" xfId="2312"/>
    <cellStyle name="Обычный 6 2 2 2 3 2 2 5 2 2" xfId="4850"/>
    <cellStyle name="Обычный 6 2 2 2 3 2 2 5 2 2 2" xfId="9968"/>
    <cellStyle name="Обычный 6 2 2 2 3 2 2 5 2 2 2 2" xfId="10921"/>
    <cellStyle name="Обычный 6 2 2 2 3 2 2 5 2 2 3" xfId="10922"/>
    <cellStyle name="Обычный 6 2 2 2 3 2 2 5 2 3" xfId="7912"/>
    <cellStyle name="Обычный 6 2 2 2 3 2 2 5 2 3 2" xfId="10923"/>
    <cellStyle name="Обычный 6 2 2 2 3 2 2 5 2 4" xfId="10924"/>
    <cellStyle name="Обычный 6 2 2 2 3 2 2 5 3" xfId="3822"/>
    <cellStyle name="Обычный 6 2 2 2 3 2 2 5 3 2" xfId="8940"/>
    <cellStyle name="Обычный 6 2 2 2 3 2 2 5 3 2 2" xfId="10925"/>
    <cellStyle name="Обычный 6 2 2 2 3 2 2 5 3 3" xfId="10926"/>
    <cellStyle name="Обычный 6 2 2 2 3 2 2 5 4" xfId="6884"/>
    <cellStyle name="Обычный 6 2 2 2 3 2 2 5 4 2" xfId="10927"/>
    <cellStyle name="Обычный 6 2 2 2 3 2 2 5 5" xfId="10928"/>
    <cellStyle name="Обычный 6 2 2 2 3 2 2 6" xfId="1377"/>
    <cellStyle name="Обычный 6 2 2 2 3 2 2 6 2" xfId="2483"/>
    <cellStyle name="Обычный 6 2 2 2 3 2 2 6 2 2" xfId="5021"/>
    <cellStyle name="Обычный 6 2 2 2 3 2 2 6 2 2 2" xfId="10139"/>
    <cellStyle name="Обычный 6 2 2 2 3 2 2 6 2 2 2 2" xfId="10929"/>
    <cellStyle name="Обычный 6 2 2 2 3 2 2 6 2 2 3" xfId="10930"/>
    <cellStyle name="Обычный 6 2 2 2 3 2 2 6 2 3" xfId="8083"/>
    <cellStyle name="Обычный 6 2 2 2 3 2 2 6 2 3 2" xfId="10931"/>
    <cellStyle name="Обычный 6 2 2 2 3 2 2 6 2 4" xfId="10932"/>
    <cellStyle name="Обычный 6 2 2 2 3 2 2 6 3" xfId="3993"/>
    <cellStyle name="Обычный 6 2 2 2 3 2 2 6 3 2" xfId="9111"/>
    <cellStyle name="Обычный 6 2 2 2 3 2 2 6 3 2 2" xfId="10933"/>
    <cellStyle name="Обычный 6 2 2 2 3 2 2 6 3 3" xfId="10934"/>
    <cellStyle name="Обычный 6 2 2 2 3 2 2 6 4" xfId="7055"/>
    <cellStyle name="Обычный 6 2 2 2 3 2 2 6 4 2" xfId="10935"/>
    <cellStyle name="Обычный 6 2 2 2 3 2 2 6 5" xfId="10936"/>
    <cellStyle name="Обычный 6 2 2 2 3 2 2 7" xfId="1548"/>
    <cellStyle name="Обычный 6 2 2 2 3 2 2 7 2" xfId="2654"/>
    <cellStyle name="Обычный 6 2 2 2 3 2 2 7 2 2" xfId="5192"/>
    <cellStyle name="Обычный 6 2 2 2 3 2 2 7 2 2 2" xfId="10310"/>
    <cellStyle name="Обычный 6 2 2 2 3 2 2 7 2 2 2 2" xfId="10937"/>
    <cellStyle name="Обычный 6 2 2 2 3 2 2 7 2 2 3" xfId="10938"/>
    <cellStyle name="Обычный 6 2 2 2 3 2 2 7 2 3" xfId="8254"/>
    <cellStyle name="Обычный 6 2 2 2 3 2 2 7 2 3 2" xfId="10939"/>
    <cellStyle name="Обычный 6 2 2 2 3 2 2 7 2 4" xfId="10940"/>
    <cellStyle name="Обычный 6 2 2 2 3 2 2 7 3" xfId="4164"/>
    <cellStyle name="Обычный 6 2 2 2 3 2 2 7 3 2" xfId="9282"/>
    <cellStyle name="Обычный 6 2 2 2 3 2 2 7 3 2 2" xfId="10941"/>
    <cellStyle name="Обычный 6 2 2 2 3 2 2 7 3 3" xfId="10942"/>
    <cellStyle name="Обычный 6 2 2 2 3 2 2 7 4" xfId="7226"/>
    <cellStyle name="Обычный 6 2 2 2 3 2 2 7 4 2" xfId="10943"/>
    <cellStyle name="Обычный 6 2 2 2 3 2 2 7 5" xfId="10944"/>
    <cellStyle name="Обычный 6 2 2 2 3 2 2 8" xfId="2966"/>
    <cellStyle name="Обычный 6 2 2 2 3 3" xfId="189"/>
    <cellStyle name="Обычный 6 2 2 2 3 3 2" xfId="190"/>
    <cellStyle name="Обычный 6 2 2 2 3 3 2 2" xfId="665"/>
    <cellStyle name="Обычный 6 2 2 2 3 3 2 2 2" xfId="1793"/>
    <cellStyle name="Обычный 6 2 2 2 3 3 2 2 2 2" xfId="4336"/>
    <cellStyle name="Обычный 6 2 2 2 3 3 2 2 2 2 2" xfId="9454"/>
    <cellStyle name="Обычный 6 2 2 2 3 3 2 2 2 2 2 2" xfId="10945"/>
    <cellStyle name="Обычный 6 2 2 2 3 3 2 2 2 2 3" xfId="10946"/>
    <cellStyle name="Обычный 6 2 2 2 3 3 2 2 2 3" xfId="7398"/>
    <cellStyle name="Обычный 6 2 2 2 3 3 2 2 2 3 2" xfId="10947"/>
    <cellStyle name="Обычный 6 2 2 2 3 3 2 2 2 4" xfId="10948"/>
    <cellStyle name="Обычный 6 2 2 2 3 3 2 2 3" xfId="3308"/>
    <cellStyle name="Обычный 6 2 2 2 3 3 2 2 3 2" xfId="8426"/>
    <cellStyle name="Обычный 6 2 2 2 3 3 2 2 3 2 2" xfId="10949"/>
    <cellStyle name="Обычный 6 2 2 2 3 3 2 2 3 3" xfId="10950"/>
    <cellStyle name="Обычный 6 2 2 2 3 3 2 2 4" xfId="6370"/>
    <cellStyle name="Обычный 6 2 2 2 3 3 2 2 4 2" xfId="10951"/>
    <cellStyle name="Обычный 6 2 2 2 3 3 2 2 5" xfId="10952"/>
    <cellStyle name="Обычный 6 2 2 2 3 3 2 3" xfId="852"/>
    <cellStyle name="Обычный 6 2 2 2 3 3 2 3 2" xfId="1971"/>
    <cellStyle name="Обычный 6 2 2 2 3 3 2 3 2 2" xfId="4509"/>
    <cellStyle name="Обычный 6 2 2 2 3 3 2 3 2 2 2" xfId="9627"/>
    <cellStyle name="Обычный 6 2 2 2 3 3 2 3 2 2 2 2" xfId="10953"/>
    <cellStyle name="Обычный 6 2 2 2 3 3 2 3 2 2 3" xfId="10954"/>
    <cellStyle name="Обычный 6 2 2 2 3 3 2 3 2 3" xfId="7571"/>
    <cellStyle name="Обычный 6 2 2 2 3 3 2 3 2 3 2" xfId="10955"/>
    <cellStyle name="Обычный 6 2 2 2 3 3 2 3 2 4" xfId="10956"/>
    <cellStyle name="Обычный 6 2 2 2 3 3 2 3 3" xfId="3481"/>
    <cellStyle name="Обычный 6 2 2 2 3 3 2 3 3 2" xfId="8599"/>
    <cellStyle name="Обычный 6 2 2 2 3 3 2 3 3 2 2" xfId="10957"/>
    <cellStyle name="Обычный 6 2 2 2 3 3 2 3 3 3" xfId="10958"/>
    <cellStyle name="Обычный 6 2 2 2 3 3 2 3 4" xfId="6543"/>
    <cellStyle name="Обычный 6 2 2 2 3 3 2 3 4 2" xfId="10959"/>
    <cellStyle name="Обычный 6 2 2 2 3 3 2 3 5" xfId="10960"/>
    <cellStyle name="Обычный 6 2 2 2 3 3 2 4" xfId="1023"/>
    <cellStyle name="Обычный 6 2 2 2 3 3 2 4 2" xfId="2142"/>
    <cellStyle name="Обычный 6 2 2 2 3 3 2 4 2 2" xfId="4680"/>
    <cellStyle name="Обычный 6 2 2 2 3 3 2 4 2 2 2" xfId="9798"/>
    <cellStyle name="Обычный 6 2 2 2 3 3 2 4 2 2 2 2" xfId="10961"/>
    <cellStyle name="Обычный 6 2 2 2 3 3 2 4 2 2 3" xfId="10962"/>
    <cellStyle name="Обычный 6 2 2 2 3 3 2 4 2 3" xfId="7742"/>
    <cellStyle name="Обычный 6 2 2 2 3 3 2 4 2 3 2" xfId="10963"/>
    <cellStyle name="Обычный 6 2 2 2 3 3 2 4 2 4" xfId="10964"/>
    <cellStyle name="Обычный 6 2 2 2 3 3 2 4 3" xfId="3652"/>
    <cellStyle name="Обычный 6 2 2 2 3 3 2 4 3 2" xfId="8770"/>
    <cellStyle name="Обычный 6 2 2 2 3 3 2 4 3 2 2" xfId="10965"/>
    <cellStyle name="Обычный 6 2 2 2 3 3 2 4 3 3" xfId="10966"/>
    <cellStyle name="Обычный 6 2 2 2 3 3 2 4 4" xfId="6714"/>
    <cellStyle name="Обычный 6 2 2 2 3 3 2 4 4 2" xfId="10967"/>
    <cellStyle name="Обычный 6 2 2 2 3 3 2 4 5" xfId="10968"/>
    <cellStyle name="Обычный 6 2 2 2 3 3 2 5" xfId="1204"/>
    <cellStyle name="Обычный 6 2 2 2 3 3 2 5 2" xfId="2313"/>
    <cellStyle name="Обычный 6 2 2 2 3 3 2 5 2 2" xfId="4851"/>
    <cellStyle name="Обычный 6 2 2 2 3 3 2 5 2 2 2" xfId="9969"/>
    <cellStyle name="Обычный 6 2 2 2 3 3 2 5 2 2 2 2" xfId="10969"/>
    <cellStyle name="Обычный 6 2 2 2 3 3 2 5 2 2 3" xfId="10970"/>
    <cellStyle name="Обычный 6 2 2 2 3 3 2 5 2 3" xfId="7913"/>
    <cellStyle name="Обычный 6 2 2 2 3 3 2 5 2 3 2" xfId="10971"/>
    <cellStyle name="Обычный 6 2 2 2 3 3 2 5 2 4" xfId="10972"/>
    <cellStyle name="Обычный 6 2 2 2 3 3 2 5 3" xfId="3823"/>
    <cellStyle name="Обычный 6 2 2 2 3 3 2 5 3 2" xfId="8941"/>
    <cellStyle name="Обычный 6 2 2 2 3 3 2 5 3 2 2" xfId="10973"/>
    <cellStyle name="Обычный 6 2 2 2 3 3 2 5 3 3" xfId="10974"/>
    <cellStyle name="Обычный 6 2 2 2 3 3 2 5 4" xfId="6885"/>
    <cellStyle name="Обычный 6 2 2 2 3 3 2 5 4 2" xfId="10975"/>
    <cellStyle name="Обычный 6 2 2 2 3 3 2 5 5" xfId="10976"/>
    <cellStyle name="Обычный 6 2 2 2 3 3 2 6" xfId="1378"/>
    <cellStyle name="Обычный 6 2 2 2 3 3 2 6 2" xfId="2484"/>
    <cellStyle name="Обычный 6 2 2 2 3 3 2 6 2 2" xfId="5022"/>
    <cellStyle name="Обычный 6 2 2 2 3 3 2 6 2 2 2" xfId="10140"/>
    <cellStyle name="Обычный 6 2 2 2 3 3 2 6 2 2 2 2" xfId="10977"/>
    <cellStyle name="Обычный 6 2 2 2 3 3 2 6 2 2 3" xfId="10978"/>
    <cellStyle name="Обычный 6 2 2 2 3 3 2 6 2 3" xfId="8084"/>
    <cellStyle name="Обычный 6 2 2 2 3 3 2 6 2 3 2" xfId="10979"/>
    <cellStyle name="Обычный 6 2 2 2 3 3 2 6 2 4" xfId="10980"/>
    <cellStyle name="Обычный 6 2 2 2 3 3 2 6 3" xfId="3994"/>
    <cellStyle name="Обычный 6 2 2 2 3 3 2 6 3 2" xfId="9112"/>
    <cellStyle name="Обычный 6 2 2 2 3 3 2 6 3 2 2" xfId="10981"/>
    <cellStyle name="Обычный 6 2 2 2 3 3 2 6 3 3" xfId="10982"/>
    <cellStyle name="Обычный 6 2 2 2 3 3 2 6 4" xfId="7056"/>
    <cellStyle name="Обычный 6 2 2 2 3 3 2 6 4 2" xfId="10983"/>
    <cellStyle name="Обычный 6 2 2 2 3 3 2 6 5" xfId="10984"/>
    <cellStyle name="Обычный 6 2 2 2 3 3 2 7" xfId="1549"/>
    <cellStyle name="Обычный 6 2 2 2 3 3 2 7 2" xfId="2655"/>
    <cellStyle name="Обычный 6 2 2 2 3 3 2 7 2 2" xfId="5193"/>
    <cellStyle name="Обычный 6 2 2 2 3 3 2 7 2 2 2" xfId="10311"/>
    <cellStyle name="Обычный 6 2 2 2 3 3 2 7 2 2 2 2" xfId="10985"/>
    <cellStyle name="Обычный 6 2 2 2 3 3 2 7 2 2 3" xfId="10986"/>
    <cellStyle name="Обычный 6 2 2 2 3 3 2 7 2 3" xfId="8255"/>
    <cellStyle name="Обычный 6 2 2 2 3 3 2 7 2 3 2" xfId="10987"/>
    <cellStyle name="Обычный 6 2 2 2 3 3 2 7 2 4" xfId="10988"/>
    <cellStyle name="Обычный 6 2 2 2 3 3 2 7 3" xfId="4165"/>
    <cellStyle name="Обычный 6 2 2 2 3 3 2 7 3 2" xfId="9283"/>
    <cellStyle name="Обычный 6 2 2 2 3 3 2 7 3 2 2" xfId="10989"/>
    <cellStyle name="Обычный 6 2 2 2 3 3 2 7 3 3" xfId="10990"/>
    <cellStyle name="Обычный 6 2 2 2 3 3 2 7 4" xfId="7227"/>
    <cellStyle name="Обычный 6 2 2 2 3 3 2 7 4 2" xfId="10991"/>
    <cellStyle name="Обычный 6 2 2 2 3 3 2 7 5" xfId="10992"/>
    <cellStyle name="Обычный 6 2 2 2 3 3 2 8" xfId="2967"/>
    <cellStyle name="Обычный 6 2 2 2 3 4" xfId="191"/>
    <cellStyle name="Обычный 6 2 2 2 3 4 2" xfId="666"/>
    <cellStyle name="Обычный 6 2 2 2 3 4 2 2" xfId="1794"/>
    <cellStyle name="Обычный 6 2 2 2 3 4 2 2 2" xfId="4337"/>
    <cellStyle name="Обычный 6 2 2 2 3 4 2 2 2 2" xfId="9455"/>
    <cellStyle name="Обычный 6 2 2 2 3 4 2 2 2 2 2" xfId="10993"/>
    <cellStyle name="Обычный 6 2 2 2 3 4 2 2 2 3" xfId="10994"/>
    <cellStyle name="Обычный 6 2 2 2 3 4 2 2 3" xfId="7399"/>
    <cellStyle name="Обычный 6 2 2 2 3 4 2 2 3 2" xfId="10995"/>
    <cellStyle name="Обычный 6 2 2 2 3 4 2 2 4" xfId="10996"/>
    <cellStyle name="Обычный 6 2 2 2 3 4 2 3" xfId="3309"/>
    <cellStyle name="Обычный 6 2 2 2 3 4 2 3 2" xfId="8427"/>
    <cellStyle name="Обычный 6 2 2 2 3 4 2 3 2 2" xfId="10997"/>
    <cellStyle name="Обычный 6 2 2 2 3 4 2 3 3" xfId="10998"/>
    <cellStyle name="Обычный 6 2 2 2 3 4 2 4" xfId="6371"/>
    <cellStyle name="Обычный 6 2 2 2 3 4 2 4 2" xfId="10999"/>
    <cellStyle name="Обычный 6 2 2 2 3 4 2 5" xfId="11000"/>
    <cellStyle name="Обычный 6 2 2 2 3 4 3" xfId="853"/>
    <cellStyle name="Обычный 6 2 2 2 3 4 3 2" xfId="1972"/>
    <cellStyle name="Обычный 6 2 2 2 3 4 3 2 2" xfId="4510"/>
    <cellStyle name="Обычный 6 2 2 2 3 4 3 2 2 2" xfId="9628"/>
    <cellStyle name="Обычный 6 2 2 2 3 4 3 2 2 2 2" xfId="11001"/>
    <cellStyle name="Обычный 6 2 2 2 3 4 3 2 2 3" xfId="11002"/>
    <cellStyle name="Обычный 6 2 2 2 3 4 3 2 3" xfId="7572"/>
    <cellStyle name="Обычный 6 2 2 2 3 4 3 2 3 2" xfId="11003"/>
    <cellStyle name="Обычный 6 2 2 2 3 4 3 2 4" xfId="11004"/>
    <cellStyle name="Обычный 6 2 2 2 3 4 3 3" xfId="3482"/>
    <cellStyle name="Обычный 6 2 2 2 3 4 3 3 2" xfId="8600"/>
    <cellStyle name="Обычный 6 2 2 2 3 4 3 3 2 2" xfId="11005"/>
    <cellStyle name="Обычный 6 2 2 2 3 4 3 3 3" xfId="11006"/>
    <cellStyle name="Обычный 6 2 2 2 3 4 3 4" xfId="6544"/>
    <cellStyle name="Обычный 6 2 2 2 3 4 3 4 2" xfId="11007"/>
    <cellStyle name="Обычный 6 2 2 2 3 4 3 5" xfId="11008"/>
    <cellStyle name="Обычный 6 2 2 2 3 4 4" xfId="1024"/>
    <cellStyle name="Обычный 6 2 2 2 3 4 4 2" xfId="2143"/>
    <cellStyle name="Обычный 6 2 2 2 3 4 4 2 2" xfId="4681"/>
    <cellStyle name="Обычный 6 2 2 2 3 4 4 2 2 2" xfId="9799"/>
    <cellStyle name="Обычный 6 2 2 2 3 4 4 2 2 2 2" xfId="11009"/>
    <cellStyle name="Обычный 6 2 2 2 3 4 4 2 2 3" xfId="11010"/>
    <cellStyle name="Обычный 6 2 2 2 3 4 4 2 3" xfId="7743"/>
    <cellStyle name="Обычный 6 2 2 2 3 4 4 2 3 2" xfId="11011"/>
    <cellStyle name="Обычный 6 2 2 2 3 4 4 2 4" xfId="11012"/>
    <cellStyle name="Обычный 6 2 2 2 3 4 4 3" xfId="3653"/>
    <cellStyle name="Обычный 6 2 2 2 3 4 4 3 2" xfId="8771"/>
    <cellStyle name="Обычный 6 2 2 2 3 4 4 3 2 2" xfId="11013"/>
    <cellStyle name="Обычный 6 2 2 2 3 4 4 3 3" xfId="11014"/>
    <cellStyle name="Обычный 6 2 2 2 3 4 4 4" xfId="6715"/>
    <cellStyle name="Обычный 6 2 2 2 3 4 4 4 2" xfId="11015"/>
    <cellStyle name="Обычный 6 2 2 2 3 4 4 5" xfId="11016"/>
    <cellStyle name="Обычный 6 2 2 2 3 4 5" xfId="1205"/>
    <cellStyle name="Обычный 6 2 2 2 3 4 5 2" xfId="2314"/>
    <cellStyle name="Обычный 6 2 2 2 3 4 5 2 2" xfId="4852"/>
    <cellStyle name="Обычный 6 2 2 2 3 4 5 2 2 2" xfId="9970"/>
    <cellStyle name="Обычный 6 2 2 2 3 4 5 2 2 2 2" xfId="11017"/>
    <cellStyle name="Обычный 6 2 2 2 3 4 5 2 2 3" xfId="11018"/>
    <cellStyle name="Обычный 6 2 2 2 3 4 5 2 3" xfId="7914"/>
    <cellStyle name="Обычный 6 2 2 2 3 4 5 2 3 2" xfId="11019"/>
    <cellStyle name="Обычный 6 2 2 2 3 4 5 2 4" xfId="11020"/>
    <cellStyle name="Обычный 6 2 2 2 3 4 5 3" xfId="3824"/>
    <cellStyle name="Обычный 6 2 2 2 3 4 5 3 2" xfId="8942"/>
    <cellStyle name="Обычный 6 2 2 2 3 4 5 3 2 2" xfId="11021"/>
    <cellStyle name="Обычный 6 2 2 2 3 4 5 3 3" xfId="11022"/>
    <cellStyle name="Обычный 6 2 2 2 3 4 5 4" xfId="6886"/>
    <cellStyle name="Обычный 6 2 2 2 3 4 5 4 2" xfId="11023"/>
    <cellStyle name="Обычный 6 2 2 2 3 4 5 5" xfId="11024"/>
    <cellStyle name="Обычный 6 2 2 2 3 4 6" xfId="1379"/>
    <cellStyle name="Обычный 6 2 2 2 3 4 6 2" xfId="2485"/>
    <cellStyle name="Обычный 6 2 2 2 3 4 6 2 2" xfId="5023"/>
    <cellStyle name="Обычный 6 2 2 2 3 4 6 2 2 2" xfId="10141"/>
    <cellStyle name="Обычный 6 2 2 2 3 4 6 2 2 2 2" xfId="11025"/>
    <cellStyle name="Обычный 6 2 2 2 3 4 6 2 2 3" xfId="11026"/>
    <cellStyle name="Обычный 6 2 2 2 3 4 6 2 3" xfId="8085"/>
    <cellStyle name="Обычный 6 2 2 2 3 4 6 2 3 2" xfId="11027"/>
    <cellStyle name="Обычный 6 2 2 2 3 4 6 2 4" xfId="11028"/>
    <cellStyle name="Обычный 6 2 2 2 3 4 6 3" xfId="3995"/>
    <cellStyle name="Обычный 6 2 2 2 3 4 6 3 2" xfId="9113"/>
    <cellStyle name="Обычный 6 2 2 2 3 4 6 3 2 2" xfId="11029"/>
    <cellStyle name="Обычный 6 2 2 2 3 4 6 3 3" xfId="11030"/>
    <cellStyle name="Обычный 6 2 2 2 3 4 6 4" xfId="7057"/>
    <cellStyle name="Обычный 6 2 2 2 3 4 6 4 2" xfId="11031"/>
    <cellStyle name="Обычный 6 2 2 2 3 4 6 5" xfId="11032"/>
    <cellStyle name="Обычный 6 2 2 2 3 4 7" xfId="1550"/>
    <cellStyle name="Обычный 6 2 2 2 3 4 7 2" xfId="2656"/>
    <cellStyle name="Обычный 6 2 2 2 3 4 7 2 2" xfId="5194"/>
    <cellStyle name="Обычный 6 2 2 2 3 4 7 2 2 2" xfId="10312"/>
    <cellStyle name="Обычный 6 2 2 2 3 4 7 2 2 2 2" xfId="11033"/>
    <cellStyle name="Обычный 6 2 2 2 3 4 7 2 2 3" xfId="11034"/>
    <cellStyle name="Обычный 6 2 2 2 3 4 7 2 3" xfId="8256"/>
    <cellStyle name="Обычный 6 2 2 2 3 4 7 2 3 2" xfId="11035"/>
    <cellStyle name="Обычный 6 2 2 2 3 4 7 2 4" xfId="11036"/>
    <cellStyle name="Обычный 6 2 2 2 3 4 7 3" xfId="4166"/>
    <cellStyle name="Обычный 6 2 2 2 3 4 7 3 2" xfId="9284"/>
    <cellStyle name="Обычный 6 2 2 2 3 4 7 3 2 2" xfId="11037"/>
    <cellStyle name="Обычный 6 2 2 2 3 4 7 3 3" xfId="11038"/>
    <cellStyle name="Обычный 6 2 2 2 3 4 7 4" xfId="7228"/>
    <cellStyle name="Обычный 6 2 2 2 3 4 7 4 2" xfId="11039"/>
    <cellStyle name="Обычный 6 2 2 2 3 4 7 5" xfId="11040"/>
    <cellStyle name="Обычный 6 2 2 2 3 4 8" xfId="2968"/>
    <cellStyle name="Обычный 6 2 2 2 4" xfId="192"/>
    <cellStyle name="Обычный 6 2 2 2 4 2" xfId="193"/>
    <cellStyle name="Обычный 6 2 2 2 4 2 2" xfId="667"/>
    <cellStyle name="Обычный 6 2 2 2 4 2 2 2" xfId="1795"/>
    <cellStyle name="Обычный 6 2 2 2 4 2 2 2 2" xfId="4338"/>
    <cellStyle name="Обычный 6 2 2 2 4 2 2 2 2 2" xfId="9456"/>
    <cellStyle name="Обычный 6 2 2 2 4 2 2 2 2 2 2" xfId="11041"/>
    <cellStyle name="Обычный 6 2 2 2 4 2 2 2 2 3" xfId="11042"/>
    <cellStyle name="Обычный 6 2 2 2 4 2 2 2 3" xfId="7400"/>
    <cellStyle name="Обычный 6 2 2 2 4 2 2 2 3 2" xfId="11043"/>
    <cellStyle name="Обычный 6 2 2 2 4 2 2 2 4" xfId="11044"/>
    <cellStyle name="Обычный 6 2 2 2 4 2 2 3" xfId="3310"/>
    <cellStyle name="Обычный 6 2 2 2 4 2 2 3 2" xfId="8428"/>
    <cellStyle name="Обычный 6 2 2 2 4 2 2 3 2 2" xfId="11045"/>
    <cellStyle name="Обычный 6 2 2 2 4 2 2 3 3" xfId="11046"/>
    <cellStyle name="Обычный 6 2 2 2 4 2 2 4" xfId="6372"/>
    <cellStyle name="Обычный 6 2 2 2 4 2 2 4 2" xfId="11047"/>
    <cellStyle name="Обычный 6 2 2 2 4 2 2 5" xfId="11048"/>
    <cellStyle name="Обычный 6 2 2 2 4 2 3" xfId="854"/>
    <cellStyle name="Обычный 6 2 2 2 4 2 3 2" xfId="1973"/>
    <cellStyle name="Обычный 6 2 2 2 4 2 3 2 2" xfId="4511"/>
    <cellStyle name="Обычный 6 2 2 2 4 2 3 2 2 2" xfId="9629"/>
    <cellStyle name="Обычный 6 2 2 2 4 2 3 2 2 2 2" xfId="11049"/>
    <cellStyle name="Обычный 6 2 2 2 4 2 3 2 2 3" xfId="11050"/>
    <cellStyle name="Обычный 6 2 2 2 4 2 3 2 3" xfId="7573"/>
    <cellStyle name="Обычный 6 2 2 2 4 2 3 2 3 2" xfId="11051"/>
    <cellStyle name="Обычный 6 2 2 2 4 2 3 2 4" xfId="11052"/>
    <cellStyle name="Обычный 6 2 2 2 4 2 3 3" xfId="3483"/>
    <cellStyle name="Обычный 6 2 2 2 4 2 3 3 2" xfId="8601"/>
    <cellStyle name="Обычный 6 2 2 2 4 2 3 3 2 2" xfId="11053"/>
    <cellStyle name="Обычный 6 2 2 2 4 2 3 3 3" xfId="11054"/>
    <cellStyle name="Обычный 6 2 2 2 4 2 3 4" xfId="6545"/>
    <cellStyle name="Обычный 6 2 2 2 4 2 3 4 2" xfId="11055"/>
    <cellStyle name="Обычный 6 2 2 2 4 2 3 5" xfId="11056"/>
    <cellStyle name="Обычный 6 2 2 2 4 2 4" xfId="1025"/>
    <cellStyle name="Обычный 6 2 2 2 4 2 4 2" xfId="2144"/>
    <cellStyle name="Обычный 6 2 2 2 4 2 4 2 2" xfId="4682"/>
    <cellStyle name="Обычный 6 2 2 2 4 2 4 2 2 2" xfId="9800"/>
    <cellStyle name="Обычный 6 2 2 2 4 2 4 2 2 2 2" xfId="11057"/>
    <cellStyle name="Обычный 6 2 2 2 4 2 4 2 2 3" xfId="11058"/>
    <cellStyle name="Обычный 6 2 2 2 4 2 4 2 3" xfId="7744"/>
    <cellStyle name="Обычный 6 2 2 2 4 2 4 2 3 2" xfId="11059"/>
    <cellStyle name="Обычный 6 2 2 2 4 2 4 2 4" xfId="11060"/>
    <cellStyle name="Обычный 6 2 2 2 4 2 4 3" xfId="3654"/>
    <cellStyle name="Обычный 6 2 2 2 4 2 4 3 2" xfId="8772"/>
    <cellStyle name="Обычный 6 2 2 2 4 2 4 3 2 2" xfId="11061"/>
    <cellStyle name="Обычный 6 2 2 2 4 2 4 3 3" xfId="11062"/>
    <cellStyle name="Обычный 6 2 2 2 4 2 4 4" xfId="6716"/>
    <cellStyle name="Обычный 6 2 2 2 4 2 4 4 2" xfId="11063"/>
    <cellStyle name="Обычный 6 2 2 2 4 2 4 5" xfId="11064"/>
    <cellStyle name="Обычный 6 2 2 2 4 2 5" xfId="1206"/>
    <cellStyle name="Обычный 6 2 2 2 4 2 5 2" xfId="2315"/>
    <cellStyle name="Обычный 6 2 2 2 4 2 5 2 2" xfId="4853"/>
    <cellStyle name="Обычный 6 2 2 2 4 2 5 2 2 2" xfId="9971"/>
    <cellStyle name="Обычный 6 2 2 2 4 2 5 2 2 2 2" xfId="11065"/>
    <cellStyle name="Обычный 6 2 2 2 4 2 5 2 2 3" xfId="11066"/>
    <cellStyle name="Обычный 6 2 2 2 4 2 5 2 3" xfId="7915"/>
    <cellStyle name="Обычный 6 2 2 2 4 2 5 2 3 2" xfId="11067"/>
    <cellStyle name="Обычный 6 2 2 2 4 2 5 2 4" xfId="11068"/>
    <cellStyle name="Обычный 6 2 2 2 4 2 5 3" xfId="3825"/>
    <cellStyle name="Обычный 6 2 2 2 4 2 5 3 2" xfId="8943"/>
    <cellStyle name="Обычный 6 2 2 2 4 2 5 3 2 2" xfId="11069"/>
    <cellStyle name="Обычный 6 2 2 2 4 2 5 3 3" xfId="11070"/>
    <cellStyle name="Обычный 6 2 2 2 4 2 5 4" xfId="6887"/>
    <cellStyle name="Обычный 6 2 2 2 4 2 5 4 2" xfId="11071"/>
    <cellStyle name="Обычный 6 2 2 2 4 2 5 5" xfId="11072"/>
    <cellStyle name="Обычный 6 2 2 2 4 2 6" xfId="1380"/>
    <cellStyle name="Обычный 6 2 2 2 4 2 6 2" xfId="2486"/>
    <cellStyle name="Обычный 6 2 2 2 4 2 6 2 2" xfId="5024"/>
    <cellStyle name="Обычный 6 2 2 2 4 2 6 2 2 2" xfId="10142"/>
    <cellStyle name="Обычный 6 2 2 2 4 2 6 2 2 2 2" xfId="11073"/>
    <cellStyle name="Обычный 6 2 2 2 4 2 6 2 2 3" xfId="11074"/>
    <cellStyle name="Обычный 6 2 2 2 4 2 6 2 3" xfId="8086"/>
    <cellStyle name="Обычный 6 2 2 2 4 2 6 2 3 2" xfId="11075"/>
    <cellStyle name="Обычный 6 2 2 2 4 2 6 2 4" xfId="11076"/>
    <cellStyle name="Обычный 6 2 2 2 4 2 6 3" xfId="3996"/>
    <cellStyle name="Обычный 6 2 2 2 4 2 6 3 2" xfId="9114"/>
    <cellStyle name="Обычный 6 2 2 2 4 2 6 3 2 2" xfId="11077"/>
    <cellStyle name="Обычный 6 2 2 2 4 2 6 3 3" xfId="11078"/>
    <cellStyle name="Обычный 6 2 2 2 4 2 6 4" xfId="7058"/>
    <cellStyle name="Обычный 6 2 2 2 4 2 6 4 2" xfId="11079"/>
    <cellStyle name="Обычный 6 2 2 2 4 2 6 5" xfId="11080"/>
    <cellStyle name="Обычный 6 2 2 2 4 2 7" xfId="1551"/>
    <cellStyle name="Обычный 6 2 2 2 4 2 7 2" xfId="2657"/>
    <cellStyle name="Обычный 6 2 2 2 4 2 7 2 2" xfId="5195"/>
    <cellStyle name="Обычный 6 2 2 2 4 2 7 2 2 2" xfId="10313"/>
    <cellStyle name="Обычный 6 2 2 2 4 2 7 2 2 2 2" xfId="11081"/>
    <cellStyle name="Обычный 6 2 2 2 4 2 7 2 2 3" xfId="11082"/>
    <cellStyle name="Обычный 6 2 2 2 4 2 7 2 3" xfId="8257"/>
    <cellStyle name="Обычный 6 2 2 2 4 2 7 2 3 2" xfId="11083"/>
    <cellStyle name="Обычный 6 2 2 2 4 2 7 2 4" xfId="11084"/>
    <cellStyle name="Обычный 6 2 2 2 4 2 7 3" xfId="4167"/>
    <cellStyle name="Обычный 6 2 2 2 4 2 7 3 2" xfId="9285"/>
    <cellStyle name="Обычный 6 2 2 2 4 2 7 3 2 2" xfId="11085"/>
    <cellStyle name="Обычный 6 2 2 2 4 2 7 3 3" xfId="11086"/>
    <cellStyle name="Обычный 6 2 2 2 4 2 7 4" xfId="7229"/>
    <cellStyle name="Обычный 6 2 2 2 4 2 7 4 2" xfId="11087"/>
    <cellStyle name="Обычный 6 2 2 2 4 2 7 5" xfId="11088"/>
    <cellStyle name="Обычный 6 2 2 2 4 2 8" xfId="2969"/>
    <cellStyle name="Обычный 6 2 2 2 5" xfId="194"/>
    <cellStyle name="Обычный 6 2 2 2 5 2" xfId="195"/>
    <cellStyle name="Обычный 6 2 2 2 5 2 2" xfId="668"/>
    <cellStyle name="Обычный 6 2 2 2 5 2 2 2" xfId="1796"/>
    <cellStyle name="Обычный 6 2 2 2 5 2 2 2 2" xfId="4339"/>
    <cellStyle name="Обычный 6 2 2 2 5 2 2 2 2 2" xfId="9457"/>
    <cellStyle name="Обычный 6 2 2 2 5 2 2 2 2 2 2" xfId="11089"/>
    <cellStyle name="Обычный 6 2 2 2 5 2 2 2 2 3" xfId="11090"/>
    <cellStyle name="Обычный 6 2 2 2 5 2 2 2 3" xfId="7401"/>
    <cellStyle name="Обычный 6 2 2 2 5 2 2 2 3 2" xfId="11091"/>
    <cellStyle name="Обычный 6 2 2 2 5 2 2 2 4" xfId="11092"/>
    <cellStyle name="Обычный 6 2 2 2 5 2 2 3" xfId="3311"/>
    <cellStyle name="Обычный 6 2 2 2 5 2 2 3 2" xfId="8429"/>
    <cellStyle name="Обычный 6 2 2 2 5 2 2 3 2 2" xfId="11093"/>
    <cellStyle name="Обычный 6 2 2 2 5 2 2 3 3" xfId="11094"/>
    <cellStyle name="Обычный 6 2 2 2 5 2 2 4" xfId="6373"/>
    <cellStyle name="Обычный 6 2 2 2 5 2 2 4 2" xfId="11095"/>
    <cellStyle name="Обычный 6 2 2 2 5 2 2 5" xfId="11096"/>
    <cellStyle name="Обычный 6 2 2 2 5 2 3" xfId="855"/>
    <cellStyle name="Обычный 6 2 2 2 5 2 3 2" xfId="1974"/>
    <cellStyle name="Обычный 6 2 2 2 5 2 3 2 2" xfId="4512"/>
    <cellStyle name="Обычный 6 2 2 2 5 2 3 2 2 2" xfId="9630"/>
    <cellStyle name="Обычный 6 2 2 2 5 2 3 2 2 2 2" xfId="11097"/>
    <cellStyle name="Обычный 6 2 2 2 5 2 3 2 2 3" xfId="11098"/>
    <cellStyle name="Обычный 6 2 2 2 5 2 3 2 3" xfId="7574"/>
    <cellStyle name="Обычный 6 2 2 2 5 2 3 2 3 2" xfId="11099"/>
    <cellStyle name="Обычный 6 2 2 2 5 2 3 2 4" xfId="11100"/>
    <cellStyle name="Обычный 6 2 2 2 5 2 3 3" xfId="3484"/>
    <cellStyle name="Обычный 6 2 2 2 5 2 3 3 2" xfId="8602"/>
    <cellStyle name="Обычный 6 2 2 2 5 2 3 3 2 2" xfId="11101"/>
    <cellStyle name="Обычный 6 2 2 2 5 2 3 3 3" xfId="11102"/>
    <cellStyle name="Обычный 6 2 2 2 5 2 3 4" xfId="6546"/>
    <cellStyle name="Обычный 6 2 2 2 5 2 3 4 2" xfId="11103"/>
    <cellStyle name="Обычный 6 2 2 2 5 2 3 5" xfId="11104"/>
    <cellStyle name="Обычный 6 2 2 2 5 2 4" xfId="1026"/>
    <cellStyle name="Обычный 6 2 2 2 5 2 4 2" xfId="2145"/>
    <cellStyle name="Обычный 6 2 2 2 5 2 4 2 2" xfId="4683"/>
    <cellStyle name="Обычный 6 2 2 2 5 2 4 2 2 2" xfId="9801"/>
    <cellStyle name="Обычный 6 2 2 2 5 2 4 2 2 2 2" xfId="11105"/>
    <cellStyle name="Обычный 6 2 2 2 5 2 4 2 2 3" xfId="11106"/>
    <cellStyle name="Обычный 6 2 2 2 5 2 4 2 3" xfId="7745"/>
    <cellStyle name="Обычный 6 2 2 2 5 2 4 2 3 2" xfId="11107"/>
    <cellStyle name="Обычный 6 2 2 2 5 2 4 2 4" xfId="11108"/>
    <cellStyle name="Обычный 6 2 2 2 5 2 4 3" xfId="3655"/>
    <cellStyle name="Обычный 6 2 2 2 5 2 4 3 2" xfId="8773"/>
    <cellStyle name="Обычный 6 2 2 2 5 2 4 3 2 2" xfId="11109"/>
    <cellStyle name="Обычный 6 2 2 2 5 2 4 3 3" xfId="11110"/>
    <cellStyle name="Обычный 6 2 2 2 5 2 4 4" xfId="6717"/>
    <cellStyle name="Обычный 6 2 2 2 5 2 4 4 2" xfId="11111"/>
    <cellStyle name="Обычный 6 2 2 2 5 2 4 5" xfId="11112"/>
    <cellStyle name="Обычный 6 2 2 2 5 2 5" xfId="1207"/>
    <cellStyle name="Обычный 6 2 2 2 5 2 5 2" xfId="2316"/>
    <cellStyle name="Обычный 6 2 2 2 5 2 5 2 2" xfId="4854"/>
    <cellStyle name="Обычный 6 2 2 2 5 2 5 2 2 2" xfId="9972"/>
    <cellStyle name="Обычный 6 2 2 2 5 2 5 2 2 2 2" xfId="11113"/>
    <cellStyle name="Обычный 6 2 2 2 5 2 5 2 2 3" xfId="11114"/>
    <cellStyle name="Обычный 6 2 2 2 5 2 5 2 3" xfId="7916"/>
    <cellStyle name="Обычный 6 2 2 2 5 2 5 2 3 2" xfId="11115"/>
    <cellStyle name="Обычный 6 2 2 2 5 2 5 2 4" xfId="11116"/>
    <cellStyle name="Обычный 6 2 2 2 5 2 5 3" xfId="3826"/>
    <cellStyle name="Обычный 6 2 2 2 5 2 5 3 2" xfId="8944"/>
    <cellStyle name="Обычный 6 2 2 2 5 2 5 3 2 2" xfId="11117"/>
    <cellStyle name="Обычный 6 2 2 2 5 2 5 3 3" xfId="11118"/>
    <cellStyle name="Обычный 6 2 2 2 5 2 5 4" xfId="6888"/>
    <cellStyle name="Обычный 6 2 2 2 5 2 5 4 2" xfId="11119"/>
    <cellStyle name="Обычный 6 2 2 2 5 2 5 5" xfId="11120"/>
    <cellStyle name="Обычный 6 2 2 2 5 2 6" xfId="1381"/>
    <cellStyle name="Обычный 6 2 2 2 5 2 6 2" xfId="2487"/>
    <cellStyle name="Обычный 6 2 2 2 5 2 6 2 2" xfId="5025"/>
    <cellStyle name="Обычный 6 2 2 2 5 2 6 2 2 2" xfId="10143"/>
    <cellStyle name="Обычный 6 2 2 2 5 2 6 2 2 2 2" xfId="11121"/>
    <cellStyle name="Обычный 6 2 2 2 5 2 6 2 2 3" xfId="11122"/>
    <cellStyle name="Обычный 6 2 2 2 5 2 6 2 3" xfId="8087"/>
    <cellStyle name="Обычный 6 2 2 2 5 2 6 2 3 2" xfId="11123"/>
    <cellStyle name="Обычный 6 2 2 2 5 2 6 2 4" xfId="11124"/>
    <cellStyle name="Обычный 6 2 2 2 5 2 6 3" xfId="3997"/>
    <cellStyle name="Обычный 6 2 2 2 5 2 6 3 2" xfId="9115"/>
    <cellStyle name="Обычный 6 2 2 2 5 2 6 3 2 2" xfId="11125"/>
    <cellStyle name="Обычный 6 2 2 2 5 2 6 3 3" xfId="11126"/>
    <cellStyle name="Обычный 6 2 2 2 5 2 6 4" xfId="7059"/>
    <cellStyle name="Обычный 6 2 2 2 5 2 6 4 2" xfId="11127"/>
    <cellStyle name="Обычный 6 2 2 2 5 2 6 5" xfId="11128"/>
    <cellStyle name="Обычный 6 2 2 2 5 2 7" xfId="1552"/>
    <cellStyle name="Обычный 6 2 2 2 5 2 7 2" xfId="2658"/>
    <cellStyle name="Обычный 6 2 2 2 5 2 7 2 2" xfId="5196"/>
    <cellStyle name="Обычный 6 2 2 2 5 2 7 2 2 2" xfId="10314"/>
    <cellStyle name="Обычный 6 2 2 2 5 2 7 2 2 2 2" xfId="11129"/>
    <cellStyle name="Обычный 6 2 2 2 5 2 7 2 2 3" xfId="11130"/>
    <cellStyle name="Обычный 6 2 2 2 5 2 7 2 3" xfId="8258"/>
    <cellStyle name="Обычный 6 2 2 2 5 2 7 2 3 2" xfId="11131"/>
    <cellStyle name="Обычный 6 2 2 2 5 2 7 2 4" xfId="11132"/>
    <cellStyle name="Обычный 6 2 2 2 5 2 7 3" xfId="4168"/>
    <cellStyle name="Обычный 6 2 2 2 5 2 7 3 2" xfId="9286"/>
    <cellStyle name="Обычный 6 2 2 2 5 2 7 3 2 2" xfId="11133"/>
    <cellStyle name="Обычный 6 2 2 2 5 2 7 3 3" xfId="11134"/>
    <cellStyle name="Обычный 6 2 2 2 5 2 7 4" xfId="7230"/>
    <cellStyle name="Обычный 6 2 2 2 5 2 7 4 2" xfId="11135"/>
    <cellStyle name="Обычный 6 2 2 2 5 2 7 5" xfId="11136"/>
    <cellStyle name="Обычный 6 2 2 2 5 2 8" xfId="2970"/>
    <cellStyle name="Обычный 6 2 2 2 6" xfId="196"/>
    <cellStyle name="Обычный 6 2 2 2 6 2" xfId="669"/>
    <cellStyle name="Обычный 6 2 2 2 6 2 2" xfId="1797"/>
    <cellStyle name="Обычный 6 2 2 2 6 2 2 2" xfId="4340"/>
    <cellStyle name="Обычный 6 2 2 2 6 2 2 2 2" xfId="9458"/>
    <cellStyle name="Обычный 6 2 2 2 6 2 2 2 2 2" xfId="11137"/>
    <cellStyle name="Обычный 6 2 2 2 6 2 2 2 3" xfId="11138"/>
    <cellStyle name="Обычный 6 2 2 2 6 2 2 3" xfId="7402"/>
    <cellStyle name="Обычный 6 2 2 2 6 2 2 3 2" xfId="11139"/>
    <cellStyle name="Обычный 6 2 2 2 6 2 2 4" xfId="11140"/>
    <cellStyle name="Обычный 6 2 2 2 6 2 3" xfId="3312"/>
    <cellStyle name="Обычный 6 2 2 2 6 2 3 2" xfId="8430"/>
    <cellStyle name="Обычный 6 2 2 2 6 2 3 2 2" xfId="11141"/>
    <cellStyle name="Обычный 6 2 2 2 6 2 3 3" xfId="11142"/>
    <cellStyle name="Обычный 6 2 2 2 6 2 4" xfId="6374"/>
    <cellStyle name="Обычный 6 2 2 2 6 2 4 2" xfId="11143"/>
    <cellStyle name="Обычный 6 2 2 2 6 2 5" xfId="11144"/>
    <cellStyle name="Обычный 6 2 2 2 6 3" xfId="856"/>
    <cellStyle name="Обычный 6 2 2 2 6 3 2" xfId="1975"/>
    <cellStyle name="Обычный 6 2 2 2 6 3 2 2" xfId="4513"/>
    <cellStyle name="Обычный 6 2 2 2 6 3 2 2 2" xfId="9631"/>
    <cellStyle name="Обычный 6 2 2 2 6 3 2 2 2 2" xfId="11145"/>
    <cellStyle name="Обычный 6 2 2 2 6 3 2 2 3" xfId="11146"/>
    <cellStyle name="Обычный 6 2 2 2 6 3 2 3" xfId="7575"/>
    <cellStyle name="Обычный 6 2 2 2 6 3 2 3 2" xfId="11147"/>
    <cellStyle name="Обычный 6 2 2 2 6 3 2 4" xfId="11148"/>
    <cellStyle name="Обычный 6 2 2 2 6 3 3" xfId="3485"/>
    <cellStyle name="Обычный 6 2 2 2 6 3 3 2" xfId="8603"/>
    <cellStyle name="Обычный 6 2 2 2 6 3 3 2 2" xfId="11149"/>
    <cellStyle name="Обычный 6 2 2 2 6 3 3 3" xfId="11150"/>
    <cellStyle name="Обычный 6 2 2 2 6 3 4" xfId="6547"/>
    <cellStyle name="Обычный 6 2 2 2 6 3 4 2" xfId="11151"/>
    <cellStyle name="Обычный 6 2 2 2 6 3 5" xfId="11152"/>
    <cellStyle name="Обычный 6 2 2 2 6 4" xfId="1027"/>
    <cellStyle name="Обычный 6 2 2 2 6 4 2" xfId="2146"/>
    <cellStyle name="Обычный 6 2 2 2 6 4 2 2" xfId="4684"/>
    <cellStyle name="Обычный 6 2 2 2 6 4 2 2 2" xfId="9802"/>
    <cellStyle name="Обычный 6 2 2 2 6 4 2 2 2 2" xfId="11153"/>
    <cellStyle name="Обычный 6 2 2 2 6 4 2 2 3" xfId="11154"/>
    <cellStyle name="Обычный 6 2 2 2 6 4 2 3" xfId="7746"/>
    <cellStyle name="Обычный 6 2 2 2 6 4 2 3 2" xfId="11155"/>
    <cellStyle name="Обычный 6 2 2 2 6 4 2 4" xfId="11156"/>
    <cellStyle name="Обычный 6 2 2 2 6 4 3" xfId="3656"/>
    <cellStyle name="Обычный 6 2 2 2 6 4 3 2" xfId="8774"/>
    <cellStyle name="Обычный 6 2 2 2 6 4 3 2 2" xfId="11157"/>
    <cellStyle name="Обычный 6 2 2 2 6 4 3 3" xfId="11158"/>
    <cellStyle name="Обычный 6 2 2 2 6 4 4" xfId="6718"/>
    <cellStyle name="Обычный 6 2 2 2 6 4 4 2" xfId="11159"/>
    <cellStyle name="Обычный 6 2 2 2 6 4 5" xfId="11160"/>
    <cellStyle name="Обычный 6 2 2 2 6 5" xfId="1208"/>
    <cellStyle name="Обычный 6 2 2 2 6 5 2" xfId="2317"/>
    <cellStyle name="Обычный 6 2 2 2 6 5 2 2" xfId="4855"/>
    <cellStyle name="Обычный 6 2 2 2 6 5 2 2 2" xfId="9973"/>
    <cellStyle name="Обычный 6 2 2 2 6 5 2 2 2 2" xfId="11161"/>
    <cellStyle name="Обычный 6 2 2 2 6 5 2 2 3" xfId="11162"/>
    <cellStyle name="Обычный 6 2 2 2 6 5 2 3" xfId="7917"/>
    <cellStyle name="Обычный 6 2 2 2 6 5 2 3 2" xfId="11163"/>
    <cellStyle name="Обычный 6 2 2 2 6 5 2 4" xfId="11164"/>
    <cellStyle name="Обычный 6 2 2 2 6 5 3" xfId="3827"/>
    <cellStyle name="Обычный 6 2 2 2 6 5 3 2" xfId="8945"/>
    <cellStyle name="Обычный 6 2 2 2 6 5 3 2 2" xfId="11165"/>
    <cellStyle name="Обычный 6 2 2 2 6 5 3 3" xfId="11166"/>
    <cellStyle name="Обычный 6 2 2 2 6 5 4" xfId="6889"/>
    <cellStyle name="Обычный 6 2 2 2 6 5 4 2" xfId="11167"/>
    <cellStyle name="Обычный 6 2 2 2 6 5 5" xfId="11168"/>
    <cellStyle name="Обычный 6 2 2 2 6 6" xfId="1382"/>
    <cellStyle name="Обычный 6 2 2 2 6 6 2" xfId="2488"/>
    <cellStyle name="Обычный 6 2 2 2 6 6 2 2" xfId="5026"/>
    <cellStyle name="Обычный 6 2 2 2 6 6 2 2 2" xfId="10144"/>
    <cellStyle name="Обычный 6 2 2 2 6 6 2 2 2 2" xfId="11169"/>
    <cellStyle name="Обычный 6 2 2 2 6 6 2 2 3" xfId="11170"/>
    <cellStyle name="Обычный 6 2 2 2 6 6 2 3" xfId="8088"/>
    <cellStyle name="Обычный 6 2 2 2 6 6 2 3 2" xfId="11171"/>
    <cellStyle name="Обычный 6 2 2 2 6 6 2 4" xfId="11172"/>
    <cellStyle name="Обычный 6 2 2 2 6 6 3" xfId="3998"/>
    <cellStyle name="Обычный 6 2 2 2 6 6 3 2" xfId="9116"/>
    <cellStyle name="Обычный 6 2 2 2 6 6 3 2 2" xfId="11173"/>
    <cellStyle name="Обычный 6 2 2 2 6 6 3 3" xfId="11174"/>
    <cellStyle name="Обычный 6 2 2 2 6 6 4" xfId="7060"/>
    <cellStyle name="Обычный 6 2 2 2 6 6 4 2" xfId="11175"/>
    <cellStyle name="Обычный 6 2 2 2 6 6 5" xfId="11176"/>
    <cellStyle name="Обычный 6 2 2 2 6 7" xfId="1553"/>
    <cellStyle name="Обычный 6 2 2 2 6 7 2" xfId="2659"/>
    <cellStyle name="Обычный 6 2 2 2 6 7 2 2" xfId="5197"/>
    <cellStyle name="Обычный 6 2 2 2 6 7 2 2 2" xfId="10315"/>
    <cellStyle name="Обычный 6 2 2 2 6 7 2 2 2 2" xfId="11177"/>
    <cellStyle name="Обычный 6 2 2 2 6 7 2 2 3" xfId="11178"/>
    <cellStyle name="Обычный 6 2 2 2 6 7 2 3" xfId="8259"/>
    <cellStyle name="Обычный 6 2 2 2 6 7 2 3 2" xfId="11179"/>
    <cellStyle name="Обычный 6 2 2 2 6 7 2 4" xfId="11180"/>
    <cellStyle name="Обычный 6 2 2 2 6 7 3" xfId="4169"/>
    <cellStyle name="Обычный 6 2 2 2 6 7 3 2" xfId="9287"/>
    <cellStyle name="Обычный 6 2 2 2 6 7 3 2 2" xfId="11181"/>
    <cellStyle name="Обычный 6 2 2 2 6 7 3 3" xfId="11182"/>
    <cellStyle name="Обычный 6 2 2 2 6 7 4" xfId="7231"/>
    <cellStyle name="Обычный 6 2 2 2 6 7 4 2" xfId="11183"/>
    <cellStyle name="Обычный 6 2 2 2 6 7 5" xfId="11184"/>
    <cellStyle name="Обычный 6 2 2 2 6 8" xfId="2971"/>
    <cellStyle name="Обычный 6 2 2 3" xfId="197"/>
    <cellStyle name="Обычный 6 2 2 3 2" xfId="198"/>
    <cellStyle name="Обычный 6 2 2 3 2 2" xfId="199"/>
    <cellStyle name="Обычный 6 2 2 3 2 2 2" xfId="200"/>
    <cellStyle name="Обычный 6 2 2 3 2 2 2 2" xfId="670"/>
    <cellStyle name="Обычный 6 2 2 3 2 2 2 2 2" xfId="1798"/>
    <cellStyle name="Обычный 6 2 2 3 2 2 2 2 2 2" xfId="4341"/>
    <cellStyle name="Обычный 6 2 2 3 2 2 2 2 2 2 2" xfId="9459"/>
    <cellStyle name="Обычный 6 2 2 3 2 2 2 2 2 2 2 2" xfId="11185"/>
    <cellStyle name="Обычный 6 2 2 3 2 2 2 2 2 2 3" xfId="11186"/>
    <cellStyle name="Обычный 6 2 2 3 2 2 2 2 2 3" xfId="7403"/>
    <cellStyle name="Обычный 6 2 2 3 2 2 2 2 2 3 2" xfId="11187"/>
    <cellStyle name="Обычный 6 2 2 3 2 2 2 2 2 4" xfId="11188"/>
    <cellStyle name="Обычный 6 2 2 3 2 2 2 2 3" xfId="3313"/>
    <cellStyle name="Обычный 6 2 2 3 2 2 2 2 3 2" xfId="8431"/>
    <cellStyle name="Обычный 6 2 2 3 2 2 2 2 3 2 2" xfId="11189"/>
    <cellStyle name="Обычный 6 2 2 3 2 2 2 2 3 3" xfId="11190"/>
    <cellStyle name="Обычный 6 2 2 3 2 2 2 2 4" xfId="6375"/>
    <cellStyle name="Обычный 6 2 2 3 2 2 2 2 4 2" xfId="11191"/>
    <cellStyle name="Обычный 6 2 2 3 2 2 2 2 5" xfId="11192"/>
    <cellStyle name="Обычный 6 2 2 3 2 2 2 3" xfId="857"/>
    <cellStyle name="Обычный 6 2 2 3 2 2 2 3 2" xfId="1976"/>
    <cellStyle name="Обычный 6 2 2 3 2 2 2 3 2 2" xfId="4514"/>
    <cellStyle name="Обычный 6 2 2 3 2 2 2 3 2 2 2" xfId="9632"/>
    <cellStyle name="Обычный 6 2 2 3 2 2 2 3 2 2 2 2" xfId="11193"/>
    <cellStyle name="Обычный 6 2 2 3 2 2 2 3 2 2 3" xfId="11194"/>
    <cellStyle name="Обычный 6 2 2 3 2 2 2 3 2 3" xfId="7576"/>
    <cellStyle name="Обычный 6 2 2 3 2 2 2 3 2 3 2" xfId="11195"/>
    <cellStyle name="Обычный 6 2 2 3 2 2 2 3 2 4" xfId="11196"/>
    <cellStyle name="Обычный 6 2 2 3 2 2 2 3 3" xfId="3486"/>
    <cellStyle name="Обычный 6 2 2 3 2 2 2 3 3 2" xfId="8604"/>
    <cellStyle name="Обычный 6 2 2 3 2 2 2 3 3 2 2" xfId="11197"/>
    <cellStyle name="Обычный 6 2 2 3 2 2 2 3 3 3" xfId="11198"/>
    <cellStyle name="Обычный 6 2 2 3 2 2 2 3 4" xfId="6548"/>
    <cellStyle name="Обычный 6 2 2 3 2 2 2 3 4 2" xfId="11199"/>
    <cellStyle name="Обычный 6 2 2 3 2 2 2 3 5" xfId="11200"/>
    <cellStyle name="Обычный 6 2 2 3 2 2 2 4" xfId="1028"/>
    <cellStyle name="Обычный 6 2 2 3 2 2 2 4 2" xfId="2147"/>
    <cellStyle name="Обычный 6 2 2 3 2 2 2 4 2 2" xfId="4685"/>
    <cellStyle name="Обычный 6 2 2 3 2 2 2 4 2 2 2" xfId="9803"/>
    <cellStyle name="Обычный 6 2 2 3 2 2 2 4 2 2 2 2" xfId="11201"/>
    <cellStyle name="Обычный 6 2 2 3 2 2 2 4 2 2 3" xfId="11202"/>
    <cellStyle name="Обычный 6 2 2 3 2 2 2 4 2 3" xfId="7747"/>
    <cellStyle name="Обычный 6 2 2 3 2 2 2 4 2 3 2" xfId="11203"/>
    <cellStyle name="Обычный 6 2 2 3 2 2 2 4 2 4" xfId="11204"/>
    <cellStyle name="Обычный 6 2 2 3 2 2 2 4 3" xfId="3657"/>
    <cellStyle name="Обычный 6 2 2 3 2 2 2 4 3 2" xfId="8775"/>
    <cellStyle name="Обычный 6 2 2 3 2 2 2 4 3 2 2" xfId="11205"/>
    <cellStyle name="Обычный 6 2 2 3 2 2 2 4 3 3" xfId="11206"/>
    <cellStyle name="Обычный 6 2 2 3 2 2 2 4 4" xfId="6719"/>
    <cellStyle name="Обычный 6 2 2 3 2 2 2 4 4 2" xfId="11207"/>
    <cellStyle name="Обычный 6 2 2 3 2 2 2 4 5" xfId="11208"/>
    <cellStyle name="Обычный 6 2 2 3 2 2 2 5" xfId="1209"/>
    <cellStyle name="Обычный 6 2 2 3 2 2 2 5 2" xfId="2318"/>
    <cellStyle name="Обычный 6 2 2 3 2 2 2 5 2 2" xfId="4856"/>
    <cellStyle name="Обычный 6 2 2 3 2 2 2 5 2 2 2" xfId="9974"/>
    <cellStyle name="Обычный 6 2 2 3 2 2 2 5 2 2 2 2" xfId="11209"/>
    <cellStyle name="Обычный 6 2 2 3 2 2 2 5 2 2 3" xfId="11210"/>
    <cellStyle name="Обычный 6 2 2 3 2 2 2 5 2 3" xfId="7918"/>
    <cellStyle name="Обычный 6 2 2 3 2 2 2 5 2 3 2" xfId="11211"/>
    <cellStyle name="Обычный 6 2 2 3 2 2 2 5 2 4" xfId="11212"/>
    <cellStyle name="Обычный 6 2 2 3 2 2 2 5 3" xfId="3828"/>
    <cellStyle name="Обычный 6 2 2 3 2 2 2 5 3 2" xfId="8946"/>
    <cellStyle name="Обычный 6 2 2 3 2 2 2 5 3 2 2" xfId="11213"/>
    <cellStyle name="Обычный 6 2 2 3 2 2 2 5 3 3" xfId="11214"/>
    <cellStyle name="Обычный 6 2 2 3 2 2 2 5 4" xfId="6890"/>
    <cellStyle name="Обычный 6 2 2 3 2 2 2 5 4 2" xfId="11215"/>
    <cellStyle name="Обычный 6 2 2 3 2 2 2 5 5" xfId="11216"/>
    <cellStyle name="Обычный 6 2 2 3 2 2 2 6" xfId="1383"/>
    <cellStyle name="Обычный 6 2 2 3 2 2 2 6 2" xfId="2489"/>
    <cellStyle name="Обычный 6 2 2 3 2 2 2 6 2 2" xfId="5027"/>
    <cellStyle name="Обычный 6 2 2 3 2 2 2 6 2 2 2" xfId="10145"/>
    <cellStyle name="Обычный 6 2 2 3 2 2 2 6 2 2 2 2" xfId="11217"/>
    <cellStyle name="Обычный 6 2 2 3 2 2 2 6 2 2 3" xfId="11218"/>
    <cellStyle name="Обычный 6 2 2 3 2 2 2 6 2 3" xfId="8089"/>
    <cellStyle name="Обычный 6 2 2 3 2 2 2 6 2 3 2" xfId="11219"/>
    <cellStyle name="Обычный 6 2 2 3 2 2 2 6 2 4" xfId="11220"/>
    <cellStyle name="Обычный 6 2 2 3 2 2 2 6 3" xfId="3999"/>
    <cellStyle name="Обычный 6 2 2 3 2 2 2 6 3 2" xfId="9117"/>
    <cellStyle name="Обычный 6 2 2 3 2 2 2 6 3 2 2" xfId="11221"/>
    <cellStyle name="Обычный 6 2 2 3 2 2 2 6 3 3" xfId="11222"/>
    <cellStyle name="Обычный 6 2 2 3 2 2 2 6 4" xfId="7061"/>
    <cellStyle name="Обычный 6 2 2 3 2 2 2 6 4 2" xfId="11223"/>
    <cellStyle name="Обычный 6 2 2 3 2 2 2 6 5" xfId="11224"/>
    <cellStyle name="Обычный 6 2 2 3 2 2 2 7" xfId="1554"/>
    <cellStyle name="Обычный 6 2 2 3 2 2 2 7 2" xfId="2660"/>
    <cellStyle name="Обычный 6 2 2 3 2 2 2 7 2 2" xfId="5198"/>
    <cellStyle name="Обычный 6 2 2 3 2 2 2 7 2 2 2" xfId="10316"/>
    <cellStyle name="Обычный 6 2 2 3 2 2 2 7 2 2 2 2" xfId="11225"/>
    <cellStyle name="Обычный 6 2 2 3 2 2 2 7 2 2 3" xfId="11226"/>
    <cellStyle name="Обычный 6 2 2 3 2 2 2 7 2 3" xfId="8260"/>
    <cellStyle name="Обычный 6 2 2 3 2 2 2 7 2 3 2" xfId="11227"/>
    <cellStyle name="Обычный 6 2 2 3 2 2 2 7 2 4" xfId="11228"/>
    <cellStyle name="Обычный 6 2 2 3 2 2 2 7 3" xfId="4170"/>
    <cellStyle name="Обычный 6 2 2 3 2 2 2 7 3 2" xfId="9288"/>
    <cellStyle name="Обычный 6 2 2 3 2 2 2 7 3 2 2" xfId="11229"/>
    <cellStyle name="Обычный 6 2 2 3 2 2 2 7 3 3" xfId="11230"/>
    <cellStyle name="Обычный 6 2 2 3 2 2 2 7 4" xfId="7232"/>
    <cellStyle name="Обычный 6 2 2 3 2 2 2 7 4 2" xfId="11231"/>
    <cellStyle name="Обычный 6 2 2 3 2 2 2 7 5" xfId="11232"/>
    <cellStyle name="Обычный 6 2 2 3 2 2 2 8" xfId="2972"/>
    <cellStyle name="Обычный 6 2 2 3 2 3" xfId="201"/>
    <cellStyle name="Обычный 6 2 2 3 2 3 2" xfId="202"/>
    <cellStyle name="Обычный 6 2 2 3 2 3 2 2" xfId="671"/>
    <cellStyle name="Обычный 6 2 2 3 2 3 2 2 2" xfId="1799"/>
    <cellStyle name="Обычный 6 2 2 3 2 3 2 2 2 2" xfId="4342"/>
    <cellStyle name="Обычный 6 2 2 3 2 3 2 2 2 2 2" xfId="9460"/>
    <cellStyle name="Обычный 6 2 2 3 2 3 2 2 2 2 2 2" xfId="11233"/>
    <cellStyle name="Обычный 6 2 2 3 2 3 2 2 2 2 3" xfId="11234"/>
    <cellStyle name="Обычный 6 2 2 3 2 3 2 2 2 3" xfId="7404"/>
    <cellStyle name="Обычный 6 2 2 3 2 3 2 2 2 3 2" xfId="11235"/>
    <cellStyle name="Обычный 6 2 2 3 2 3 2 2 2 4" xfId="11236"/>
    <cellStyle name="Обычный 6 2 2 3 2 3 2 2 3" xfId="3314"/>
    <cellStyle name="Обычный 6 2 2 3 2 3 2 2 3 2" xfId="8432"/>
    <cellStyle name="Обычный 6 2 2 3 2 3 2 2 3 2 2" xfId="11237"/>
    <cellStyle name="Обычный 6 2 2 3 2 3 2 2 3 3" xfId="11238"/>
    <cellStyle name="Обычный 6 2 2 3 2 3 2 2 4" xfId="6376"/>
    <cellStyle name="Обычный 6 2 2 3 2 3 2 2 4 2" xfId="11239"/>
    <cellStyle name="Обычный 6 2 2 3 2 3 2 2 5" xfId="11240"/>
    <cellStyle name="Обычный 6 2 2 3 2 3 2 3" xfId="858"/>
    <cellStyle name="Обычный 6 2 2 3 2 3 2 3 2" xfId="1977"/>
    <cellStyle name="Обычный 6 2 2 3 2 3 2 3 2 2" xfId="4515"/>
    <cellStyle name="Обычный 6 2 2 3 2 3 2 3 2 2 2" xfId="9633"/>
    <cellStyle name="Обычный 6 2 2 3 2 3 2 3 2 2 2 2" xfId="11241"/>
    <cellStyle name="Обычный 6 2 2 3 2 3 2 3 2 2 3" xfId="11242"/>
    <cellStyle name="Обычный 6 2 2 3 2 3 2 3 2 3" xfId="7577"/>
    <cellStyle name="Обычный 6 2 2 3 2 3 2 3 2 3 2" xfId="11243"/>
    <cellStyle name="Обычный 6 2 2 3 2 3 2 3 2 4" xfId="11244"/>
    <cellStyle name="Обычный 6 2 2 3 2 3 2 3 3" xfId="3487"/>
    <cellStyle name="Обычный 6 2 2 3 2 3 2 3 3 2" xfId="8605"/>
    <cellStyle name="Обычный 6 2 2 3 2 3 2 3 3 2 2" xfId="11245"/>
    <cellStyle name="Обычный 6 2 2 3 2 3 2 3 3 3" xfId="11246"/>
    <cellStyle name="Обычный 6 2 2 3 2 3 2 3 4" xfId="6549"/>
    <cellStyle name="Обычный 6 2 2 3 2 3 2 3 4 2" xfId="11247"/>
    <cellStyle name="Обычный 6 2 2 3 2 3 2 3 5" xfId="11248"/>
    <cellStyle name="Обычный 6 2 2 3 2 3 2 4" xfId="1029"/>
    <cellStyle name="Обычный 6 2 2 3 2 3 2 4 2" xfId="2148"/>
    <cellStyle name="Обычный 6 2 2 3 2 3 2 4 2 2" xfId="4686"/>
    <cellStyle name="Обычный 6 2 2 3 2 3 2 4 2 2 2" xfId="9804"/>
    <cellStyle name="Обычный 6 2 2 3 2 3 2 4 2 2 2 2" xfId="11249"/>
    <cellStyle name="Обычный 6 2 2 3 2 3 2 4 2 2 3" xfId="11250"/>
    <cellStyle name="Обычный 6 2 2 3 2 3 2 4 2 3" xfId="7748"/>
    <cellStyle name="Обычный 6 2 2 3 2 3 2 4 2 3 2" xfId="11251"/>
    <cellStyle name="Обычный 6 2 2 3 2 3 2 4 2 4" xfId="11252"/>
    <cellStyle name="Обычный 6 2 2 3 2 3 2 4 3" xfId="3658"/>
    <cellStyle name="Обычный 6 2 2 3 2 3 2 4 3 2" xfId="8776"/>
    <cellStyle name="Обычный 6 2 2 3 2 3 2 4 3 2 2" xfId="11253"/>
    <cellStyle name="Обычный 6 2 2 3 2 3 2 4 3 3" xfId="11254"/>
    <cellStyle name="Обычный 6 2 2 3 2 3 2 4 4" xfId="6720"/>
    <cellStyle name="Обычный 6 2 2 3 2 3 2 4 4 2" xfId="11255"/>
    <cellStyle name="Обычный 6 2 2 3 2 3 2 4 5" xfId="11256"/>
    <cellStyle name="Обычный 6 2 2 3 2 3 2 5" xfId="1210"/>
    <cellStyle name="Обычный 6 2 2 3 2 3 2 5 2" xfId="2319"/>
    <cellStyle name="Обычный 6 2 2 3 2 3 2 5 2 2" xfId="4857"/>
    <cellStyle name="Обычный 6 2 2 3 2 3 2 5 2 2 2" xfId="9975"/>
    <cellStyle name="Обычный 6 2 2 3 2 3 2 5 2 2 2 2" xfId="11257"/>
    <cellStyle name="Обычный 6 2 2 3 2 3 2 5 2 2 3" xfId="11258"/>
    <cellStyle name="Обычный 6 2 2 3 2 3 2 5 2 3" xfId="7919"/>
    <cellStyle name="Обычный 6 2 2 3 2 3 2 5 2 3 2" xfId="11259"/>
    <cellStyle name="Обычный 6 2 2 3 2 3 2 5 2 4" xfId="11260"/>
    <cellStyle name="Обычный 6 2 2 3 2 3 2 5 3" xfId="3829"/>
    <cellStyle name="Обычный 6 2 2 3 2 3 2 5 3 2" xfId="8947"/>
    <cellStyle name="Обычный 6 2 2 3 2 3 2 5 3 2 2" xfId="11261"/>
    <cellStyle name="Обычный 6 2 2 3 2 3 2 5 3 3" xfId="11262"/>
    <cellStyle name="Обычный 6 2 2 3 2 3 2 5 4" xfId="6891"/>
    <cellStyle name="Обычный 6 2 2 3 2 3 2 5 4 2" xfId="11263"/>
    <cellStyle name="Обычный 6 2 2 3 2 3 2 5 5" xfId="11264"/>
    <cellStyle name="Обычный 6 2 2 3 2 3 2 6" xfId="1384"/>
    <cellStyle name="Обычный 6 2 2 3 2 3 2 6 2" xfId="2490"/>
    <cellStyle name="Обычный 6 2 2 3 2 3 2 6 2 2" xfId="5028"/>
    <cellStyle name="Обычный 6 2 2 3 2 3 2 6 2 2 2" xfId="10146"/>
    <cellStyle name="Обычный 6 2 2 3 2 3 2 6 2 2 2 2" xfId="11265"/>
    <cellStyle name="Обычный 6 2 2 3 2 3 2 6 2 2 3" xfId="11266"/>
    <cellStyle name="Обычный 6 2 2 3 2 3 2 6 2 3" xfId="8090"/>
    <cellStyle name="Обычный 6 2 2 3 2 3 2 6 2 3 2" xfId="11267"/>
    <cellStyle name="Обычный 6 2 2 3 2 3 2 6 2 4" xfId="11268"/>
    <cellStyle name="Обычный 6 2 2 3 2 3 2 6 3" xfId="4000"/>
    <cellStyle name="Обычный 6 2 2 3 2 3 2 6 3 2" xfId="9118"/>
    <cellStyle name="Обычный 6 2 2 3 2 3 2 6 3 2 2" xfId="11269"/>
    <cellStyle name="Обычный 6 2 2 3 2 3 2 6 3 3" xfId="11270"/>
    <cellStyle name="Обычный 6 2 2 3 2 3 2 6 4" xfId="7062"/>
    <cellStyle name="Обычный 6 2 2 3 2 3 2 6 4 2" xfId="11271"/>
    <cellStyle name="Обычный 6 2 2 3 2 3 2 6 5" xfId="11272"/>
    <cellStyle name="Обычный 6 2 2 3 2 3 2 7" xfId="1555"/>
    <cellStyle name="Обычный 6 2 2 3 2 3 2 7 2" xfId="2661"/>
    <cellStyle name="Обычный 6 2 2 3 2 3 2 7 2 2" xfId="5199"/>
    <cellStyle name="Обычный 6 2 2 3 2 3 2 7 2 2 2" xfId="10317"/>
    <cellStyle name="Обычный 6 2 2 3 2 3 2 7 2 2 2 2" xfId="11273"/>
    <cellStyle name="Обычный 6 2 2 3 2 3 2 7 2 2 3" xfId="11274"/>
    <cellStyle name="Обычный 6 2 2 3 2 3 2 7 2 3" xfId="8261"/>
    <cellStyle name="Обычный 6 2 2 3 2 3 2 7 2 3 2" xfId="11275"/>
    <cellStyle name="Обычный 6 2 2 3 2 3 2 7 2 4" xfId="11276"/>
    <cellStyle name="Обычный 6 2 2 3 2 3 2 7 3" xfId="4171"/>
    <cellStyle name="Обычный 6 2 2 3 2 3 2 7 3 2" xfId="9289"/>
    <cellStyle name="Обычный 6 2 2 3 2 3 2 7 3 2 2" xfId="11277"/>
    <cellStyle name="Обычный 6 2 2 3 2 3 2 7 3 3" xfId="11278"/>
    <cellStyle name="Обычный 6 2 2 3 2 3 2 7 4" xfId="7233"/>
    <cellStyle name="Обычный 6 2 2 3 2 3 2 7 4 2" xfId="11279"/>
    <cellStyle name="Обычный 6 2 2 3 2 3 2 7 5" xfId="11280"/>
    <cellStyle name="Обычный 6 2 2 3 2 3 2 8" xfId="2973"/>
    <cellStyle name="Обычный 6 2 2 3 2 4" xfId="203"/>
    <cellStyle name="Обычный 6 2 2 3 2 4 2" xfId="672"/>
    <cellStyle name="Обычный 6 2 2 3 2 4 2 2" xfId="1800"/>
    <cellStyle name="Обычный 6 2 2 3 2 4 2 2 2" xfId="4343"/>
    <cellStyle name="Обычный 6 2 2 3 2 4 2 2 2 2" xfId="9461"/>
    <cellStyle name="Обычный 6 2 2 3 2 4 2 2 2 2 2" xfId="11281"/>
    <cellStyle name="Обычный 6 2 2 3 2 4 2 2 2 3" xfId="11282"/>
    <cellStyle name="Обычный 6 2 2 3 2 4 2 2 3" xfId="7405"/>
    <cellStyle name="Обычный 6 2 2 3 2 4 2 2 3 2" xfId="11283"/>
    <cellStyle name="Обычный 6 2 2 3 2 4 2 2 4" xfId="11284"/>
    <cellStyle name="Обычный 6 2 2 3 2 4 2 3" xfId="3315"/>
    <cellStyle name="Обычный 6 2 2 3 2 4 2 3 2" xfId="8433"/>
    <cellStyle name="Обычный 6 2 2 3 2 4 2 3 2 2" xfId="11285"/>
    <cellStyle name="Обычный 6 2 2 3 2 4 2 3 3" xfId="11286"/>
    <cellStyle name="Обычный 6 2 2 3 2 4 2 4" xfId="6377"/>
    <cellStyle name="Обычный 6 2 2 3 2 4 2 4 2" xfId="11287"/>
    <cellStyle name="Обычный 6 2 2 3 2 4 2 5" xfId="11288"/>
    <cellStyle name="Обычный 6 2 2 3 2 4 3" xfId="859"/>
    <cellStyle name="Обычный 6 2 2 3 2 4 3 2" xfId="1978"/>
    <cellStyle name="Обычный 6 2 2 3 2 4 3 2 2" xfId="4516"/>
    <cellStyle name="Обычный 6 2 2 3 2 4 3 2 2 2" xfId="9634"/>
    <cellStyle name="Обычный 6 2 2 3 2 4 3 2 2 2 2" xfId="11289"/>
    <cellStyle name="Обычный 6 2 2 3 2 4 3 2 2 3" xfId="11290"/>
    <cellStyle name="Обычный 6 2 2 3 2 4 3 2 3" xfId="7578"/>
    <cellStyle name="Обычный 6 2 2 3 2 4 3 2 3 2" xfId="11291"/>
    <cellStyle name="Обычный 6 2 2 3 2 4 3 2 4" xfId="11292"/>
    <cellStyle name="Обычный 6 2 2 3 2 4 3 3" xfId="3488"/>
    <cellStyle name="Обычный 6 2 2 3 2 4 3 3 2" xfId="8606"/>
    <cellStyle name="Обычный 6 2 2 3 2 4 3 3 2 2" xfId="11293"/>
    <cellStyle name="Обычный 6 2 2 3 2 4 3 3 3" xfId="11294"/>
    <cellStyle name="Обычный 6 2 2 3 2 4 3 4" xfId="6550"/>
    <cellStyle name="Обычный 6 2 2 3 2 4 3 4 2" xfId="11295"/>
    <cellStyle name="Обычный 6 2 2 3 2 4 3 5" xfId="11296"/>
    <cellStyle name="Обычный 6 2 2 3 2 4 4" xfId="1030"/>
    <cellStyle name="Обычный 6 2 2 3 2 4 4 2" xfId="2149"/>
    <cellStyle name="Обычный 6 2 2 3 2 4 4 2 2" xfId="4687"/>
    <cellStyle name="Обычный 6 2 2 3 2 4 4 2 2 2" xfId="9805"/>
    <cellStyle name="Обычный 6 2 2 3 2 4 4 2 2 2 2" xfId="11297"/>
    <cellStyle name="Обычный 6 2 2 3 2 4 4 2 2 3" xfId="11298"/>
    <cellStyle name="Обычный 6 2 2 3 2 4 4 2 3" xfId="7749"/>
    <cellStyle name="Обычный 6 2 2 3 2 4 4 2 3 2" xfId="11299"/>
    <cellStyle name="Обычный 6 2 2 3 2 4 4 2 4" xfId="11300"/>
    <cellStyle name="Обычный 6 2 2 3 2 4 4 3" xfId="3659"/>
    <cellStyle name="Обычный 6 2 2 3 2 4 4 3 2" xfId="8777"/>
    <cellStyle name="Обычный 6 2 2 3 2 4 4 3 2 2" xfId="11301"/>
    <cellStyle name="Обычный 6 2 2 3 2 4 4 3 3" xfId="11302"/>
    <cellStyle name="Обычный 6 2 2 3 2 4 4 4" xfId="6721"/>
    <cellStyle name="Обычный 6 2 2 3 2 4 4 4 2" xfId="11303"/>
    <cellStyle name="Обычный 6 2 2 3 2 4 4 5" xfId="11304"/>
    <cellStyle name="Обычный 6 2 2 3 2 4 5" xfId="1211"/>
    <cellStyle name="Обычный 6 2 2 3 2 4 5 2" xfId="2320"/>
    <cellStyle name="Обычный 6 2 2 3 2 4 5 2 2" xfId="4858"/>
    <cellStyle name="Обычный 6 2 2 3 2 4 5 2 2 2" xfId="9976"/>
    <cellStyle name="Обычный 6 2 2 3 2 4 5 2 2 2 2" xfId="11305"/>
    <cellStyle name="Обычный 6 2 2 3 2 4 5 2 2 3" xfId="11306"/>
    <cellStyle name="Обычный 6 2 2 3 2 4 5 2 3" xfId="7920"/>
    <cellStyle name="Обычный 6 2 2 3 2 4 5 2 3 2" xfId="11307"/>
    <cellStyle name="Обычный 6 2 2 3 2 4 5 2 4" xfId="11308"/>
    <cellStyle name="Обычный 6 2 2 3 2 4 5 3" xfId="3830"/>
    <cellStyle name="Обычный 6 2 2 3 2 4 5 3 2" xfId="8948"/>
    <cellStyle name="Обычный 6 2 2 3 2 4 5 3 2 2" xfId="11309"/>
    <cellStyle name="Обычный 6 2 2 3 2 4 5 3 3" xfId="11310"/>
    <cellStyle name="Обычный 6 2 2 3 2 4 5 4" xfId="6892"/>
    <cellStyle name="Обычный 6 2 2 3 2 4 5 4 2" xfId="11311"/>
    <cellStyle name="Обычный 6 2 2 3 2 4 5 5" xfId="11312"/>
    <cellStyle name="Обычный 6 2 2 3 2 4 6" xfId="1385"/>
    <cellStyle name="Обычный 6 2 2 3 2 4 6 2" xfId="2491"/>
    <cellStyle name="Обычный 6 2 2 3 2 4 6 2 2" xfId="5029"/>
    <cellStyle name="Обычный 6 2 2 3 2 4 6 2 2 2" xfId="10147"/>
    <cellStyle name="Обычный 6 2 2 3 2 4 6 2 2 2 2" xfId="11313"/>
    <cellStyle name="Обычный 6 2 2 3 2 4 6 2 2 3" xfId="11314"/>
    <cellStyle name="Обычный 6 2 2 3 2 4 6 2 3" xfId="8091"/>
    <cellStyle name="Обычный 6 2 2 3 2 4 6 2 3 2" xfId="11315"/>
    <cellStyle name="Обычный 6 2 2 3 2 4 6 2 4" xfId="11316"/>
    <cellStyle name="Обычный 6 2 2 3 2 4 6 3" xfId="4001"/>
    <cellStyle name="Обычный 6 2 2 3 2 4 6 3 2" xfId="9119"/>
    <cellStyle name="Обычный 6 2 2 3 2 4 6 3 2 2" xfId="11317"/>
    <cellStyle name="Обычный 6 2 2 3 2 4 6 3 3" xfId="11318"/>
    <cellStyle name="Обычный 6 2 2 3 2 4 6 4" xfId="7063"/>
    <cellStyle name="Обычный 6 2 2 3 2 4 6 4 2" xfId="11319"/>
    <cellStyle name="Обычный 6 2 2 3 2 4 6 5" xfId="11320"/>
    <cellStyle name="Обычный 6 2 2 3 2 4 7" xfId="1556"/>
    <cellStyle name="Обычный 6 2 2 3 2 4 7 2" xfId="2662"/>
    <cellStyle name="Обычный 6 2 2 3 2 4 7 2 2" xfId="5200"/>
    <cellStyle name="Обычный 6 2 2 3 2 4 7 2 2 2" xfId="10318"/>
    <cellStyle name="Обычный 6 2 2 3 2 4 7 2 2 2 2" xfId="11321"/>
    <cellStyle name="Обычный 6 2 2 3 2 4 7 2 2 3" xfId="11322"/>
    <cellStyle name="Обычный 6 2 2 3 2 4 7 2 3" xfId="8262"/>
    <cellStyle name="Обычный 6 2 2 3 2 4 7 2 3 2" xfId="11323"/>
    <cellStyle name="Обычный 6 2 2 3 2 4 7 2 4" xfId="11324"/>
    <cellStyle name="Обычный 6 2 2 3 2 4 7 3" xfId="4172"/>
    <cellStyle name="Обычный 6 2 2 3 2 4 7 3 2" xfId="9290"/>
    <cellStyle name="Обычный 6 2 2 3 2 4 7 3 2 2" xfId="11325"/>
    <cellStyle name="Обычный 6 2 2 3 2 4 7 3 3" xfId="11326"/>
    <cellStyle name="Обычный 6 2 2 3 2 4 7 4" xfId="7234"/>
    <cellStyle name="Обычный 6 2 2 3 2 4 7 4 2" xfId="11327"/>
    <cellStyle name="Обычный 6 2 2 3 2 4 7 5" xfId="11328"/>
    <cellStyle name="Обычный 6 2 2 3 2 4 8" xfId="2974"/>
    <cellStyle name="Обычный 6 2 2 3 3" xfId="204"/>
    <cellStyle name="Обычный 6 2 2 3 3 2" xfId="205"/>
    <cellStyle name="Обычный 6 2 2 3 3 2 2" xfId="673"/>
    <cellStyle name="Обычный 6 2 2 3 3 2 2 2" xfId="1801"/>
    <cellStyle name="Обычный 6 2 2 3 3 2 2 2 2" xfId="4344"/>
    <cellStyle name="Обычный 6 2 2 3 3 2 2 2 2 2" xfId="9462"/>
    <cellStyle name="Обычный 6 2 2 3 3 2 2 2 2 2 2" xfId="11329"/>
    <cellStyle name="Обычный 6 2 2 3 3 2 2 2 2 3" xfId="11330"/>
    <cellStyle name="Обычный 6 2 2 3 3 2 2 2 3" xfId="7406"/>
    <cellStyle name="Обычный 6 2 2 3 3 2 2 2 3 2" xfId="11331"/>
    <cellStyle name="Обычный 6 2 2 3 3 2 2 2 4" xfId="11332"/>
    <cellStyle name="Обычный 6 2 2 3 3 2 2 3" xfId="3316"/>
    <cellStyle name="Обычный 6 2 2 3 3 2 2 3 2" xfId="8434"/>
    <cellStyle name="Обычный 6 2 2 3 3 2 2 3 2 2" xfId="11333"/>
    <cellStyle name="Обычный 6 2 2 3 3 2 2 3 3" xfId="11334"/>
    <cellStyle name="Обычный 6 2 2 3 3 2 2 4" xfId="6378"/>
    <cellStyle name="Обычный 6 2 2 3 3 2 2 4 2" xfId="11335"/>
    <cellStyle name="Обычный 6 2 2 3 3 2 2 5" xfId="11336"/>
    <cellStyle name="Обычный 6 2 2 3 3 2 3" xfId="860"/>
    <cellStyle name="Обычный 6 2 2 3 3 2 3 2" xfId="1979"/>
    <cellStyle name="Обычный 6 2 2 3 3 2 3 2 2" xfId="4517"/>
    <cellStyle name="Обычный 6 2 2 3 3 2 3 2 2 2" xfId="9635"/>
    <cellStyle name="Обычный 6 2 2 3 3 2 3 2 2 2 2" xfId="11337"/>
    <cellStyle name="Обычный 6 2 2 3 3 2 3 2 2 3" xfId="11338"/>
    <cellStyle name="Обычный 6 2 2 3 3 2 3 2 3" xfId="7579"/>
    <cellStyle name="Обычный 6 2 2 3 3 2 3 2 3 2" xfId="11339"/>
    <cellStyle name="Обычный 6 2 2 3 3 2 3 2 4" xfId="11340"/>
    <cellStyle name="Обычный 6 2 2 3 3 2 3 3" xfId="3489"/>
    <cellStyle name="Обычный 6 2 2 3 3 2 3 3 2" xfId="8607"/>
    <cellStyle name="Обычный 6 2 2 3 3 2 3 3 2 2" xfId="11341"/>
    <cellStyle name="Обычный 6 2 2 3 3 2 3 3 3" xfId="11342"/>
    <cellStyle name="Обычный 6 2 2 3 3 2 3 4" xfId="6551"/>
    <cellStyle name="Обычный 6 2 2 3 3 2 3 4 2" xfId="11343"/>
    <cellStyle name="Обычный 6 2 2 3 3 2 3 5" xfId="11344"/>
    <cellStyle name="Обычный 6 2 2 3 3 2 4" xfId="1031"/>
    <cellStyle name="Обычный 6 2 2 3 3 2 4 2" xfId="2150"/>
    <cellStyle name="Обычный 6 2 2 3 3 2 4 2 2" xfId="4688"/>
    <cellStyle name="Обычный 6 2 2 3 3 2 4 2 2 2" xfId="9806"/>
    <cellStyle name="Обычный 6 2 2 3 3 2 4 2 2 2 2" xfId="11345"/>
    <cellStyle name="Обычный 6 2 2 3 3 2 4 2 2 3" xfId="11346"/>
    <cellStyle name="Обычный 6 2 2 3 3 2 4 2 3" xfId="7750"/>
    <cellStyle name="Обычный 6 2 2 3 3 2 4 2 3 2" xfId="11347"/>
    <cellStyle name="Обычный 6 2 2 3 3 2 4 2 4" xfId="11348"/>
    <cellStyle name="Обычный 6 2 2 3 3 2 4 3" xfId="3660"/>
    <cellStyle name="Обычный 6 2 2 3 3 2 4 3 2" xfId="8778"/>
    <cellStyle name="Обычный 6 2 2 3 3 2 4 3 2 2" xfId="11349"/>
    <cellStyle name="Обычный 6 2 2 3 3 2 4 3 3" xfId="11350"/>
    <cellStyle name="Обычный 6 2 2 3 3 2 4 4" xfId="6722"/>
    <cellStyle name="Обычный 6 2 2 3 3 2 4 4 2" xfId="11351"/>
    <cellStyle name="Обычный 6 2 2 3 3 2 4 5" xfId="11352"/>
    <cellStyle name="Обычный 6 2 2 3 3 2 5" xfId="1212"/>
    <cellStyle name="Обычный 6 2 2 3 3 2 5 2" xfId="2321"/>
    <cellStyle name="Обычный 6 2 2 3 3 2 5 2 2" xfId="4859"/>
    <cellStyle name="Обычный 6 2 2 3 3 2 5 2 2 2" xfId="9977"/>
    <cellStyle name="Обычный 6 2 2 3 3 2 5 2 2 2 2" xfId="11353"/>
    <cellStyle name="Обычный 6 2 2 3 3 2 5 2 2 3" xfId="11354"/>
    <cellStyle name="Обычный 6 2 2 3 3 2 5 2 3" xfId="7921"/>
    <cellStyle name="Обычный 6 2 2 3 3 2 5 2 3 2" xfId="11355"/>
    <cellStyle name="Обычный 6 2 2 3 3 2 5 2 4" xfId="11356"/>
    <cellStyle name="Обычный 6 2 2 3 3 2 5 3" xfId="3831"/>
    <cellStyle name="Обычный 6 2 2 3 3 2 5 3 2" xfId="8949"/>
    <cellStyle name="Обычный 6 2 2 3 3 2 5 3 2 2" xfId="11357"/>
    <cellStyle name="Обычный 6 2 2 3 3 2 5 3 3" xfId="11358"/>
    <cellStyle name="Обычный 6 2 2 3 3 2 5 4" xfId="6893"/>
    <cellStyle name="Обычный 6 2 2 3 3 2 5 4 2" xfId="11359"/>
    <cellStyle name="Обычный 6 2 2 3 3 2 5 5" xfId="11360"/>
    <cellStyle name="Обычный 6 2 2 3 3 2 6" xfId="1386"/>
    <cellStyle name="Обычный 6 2 2 3 3 2 6 2" xfId="2492"/>
    <cellStyle name="Обычный 6 2 2 3 3 2 6 2 2" xfId="5030"/>
    <cellStyle name="Обычный 6 2 2 3 3 2 6 2 2 2" xfId="10148"/>
    <cellStyle name="Обычный 6 2 2 3 3 2 6 2 2 2 2" xfId="11361"/>
    <cellStyle name="Обычный 6 2 2 3 3 2 6 2 2 3" xfId="11362"/>
    <cellStyle name="Обычный 6 2 2 3 3 2 6 2 3" xfId="8092"/>
    <cellStyle name="Обычный 6 2 2 3 3 2 6 2 3 2" xfId="11363"/>
    <cellStyle name="Обычный 6 2 2 3 3 2 6 2 4" xfId="11364"/>
    <cellStyle name="Обычный 6 2 2 3 3 2 6 3" xfId="4002"/>
    <cellStyle name="Обычный 6 2 2 3 3 2 6 3 2" xfId="9120"/>
    <cellStyle name="Обычный 6 2 2 3 3 2 6 3 2 2" xfId="11365"/>
    <cellStyle name="Обычный 6 2 2 3 3 2 6 3 3" xfId="11366"/>
    <cellStyle name="Обычный 6 2 2 3 3 2 6 4" xfId="7064"/>
    <cellStyle name="Обычный 6 2 2 3 3 2 6 4 2" xfId="11367"/>
    <cellStyle name="Обычный 6 2 2 3 3 2 6 5" xfId="11368"/>
    <cellStyle name="Обычный 6 2 2 3 3 2 7" xfId="1557"/>
    <cellStyle name="Обычный 6 2 2 3 3 2 7 2" xfId="2663"/>
    <cellStyle name="Обычный 6 2 2 3 3 2 7 2 2" xfId="5201"/>
    <cellStyle name="Обычный 6 2 2 3 3 2 7 2 2 2" xfId="10319"/>
    <cellStyle name="Обычный 6 2 2 3 3 2 7 2 2 2 2" xfId="11369"/>
    <cellStyle name="Обычный 6 2 2 3 3 2 7 2 2 3" xfId="11370"/>
    <cellStyle name="Обычный 6 2 2 3 3 2 7 2 3" xfId="8263"/>
    <cellStyle name="Обычный 6 2 2 3 3 2 7 2 3 2" xfId="11371"/>
    <cellStyle name="Обычный 6 2 2 3 3 2 7 2 4" xfId="11372"/>
    <cellStyle name="Обычный 6 2 2 3 3 2 7 3" xfId="4173"/>
    <cellStyle name="Обычный 6 2 2 3 3 2 7 3 2" xfId="9291"/>
    <cellStyle name="Обычный 6 2 2 3 3 2 7 3 2 2" xfId="11373"/>
    <cellStyle name="Обычный 6 2 2 3 3 2 7 3 3" xfId="11374"/>
    <cellStyle name="Обычный 6 2 2 3 3 2 7 4" xfId="7235"/>
    <cellStyle name="Обычный 6 2 2 3 3 2 7 4 2" xfId="11375"/>
    <cellStyle name="Обычный 6 2 2 3 3 2 7 5" xfId="11376"/>
    <cellStyle name="Обычный 6 2 2 3 3 2 8" xfId="2975"/>
    <cellStyle name="Обычный 6 2 2 3 4" xfId="206"/>
    <cellStyle name="Обычный 6 2 2 3 4 2" xfId="207"/>
    <cellStyle name="Обычный 6 2 2 3 4 2 2" xfId="674"/>
    <cellStyle name="Обычный 6 2 2 3 4 2 2 2" xfId="1802"/>
    <cellStyle name="Обычный 6 2 2 3 4 2 2 2 2" xfId="4345"/>
    <cellStyle name="Обычный 6 2 2 3 4 2 2 2 2 2" xfId="9463"/>
    <cellStyle name="Обычный 6 2 2 3 4 2 2 2 2 2 2" xfId="11377"/>
    <cellStyle name="Обычный 6 2 2 3 4 2 2 2 2 3" xfId="11378"/>
    <cellStyle name="Обычный 6 2 2 3 4 2 2 2 3" xfId="7407"/>
    <cellStyle name="Обычный 6 2 2 3 4 2 2 2 3 2" xfId="11379"/>
    <cellStyle name="Обычный 6 2 2 3 4 2 2 2 4" xfId="11380"/>
    <cellStyle name="Обычный 6 2 2 3 4 2 2 3" xfId="3317"/>
    <cellStyle name="Обычный 6 2 2 3 4 2 2 3 2" xfId="8435"/>
    <cellStyle name="Обычный 6 2 2 3 4 2 2 3 2 2" xfId="11381"/>
    <cellStyle name="Обычный 6 2 2 3 4 2 2 3 3" xfId="11382"/>
    <cellStyle name="Обычный 6 2 2 3 4 2 2 4" xfId="6379"/>
    <cellStyle name="Обычный 6 2 2 3 4 2 2 4 2" xfId="11383"/>
    <cellStyle name="Обычный 6 2 2 3 4 2 2 5" xfId="11384"/>
    <cellStyle name="Обычный 6 2 2 3 4 2 3" xfId="861"/>
    <cellStyle name="Обычный 6 2 2 3 4 2 3 2" xfId="1980"/>
    <cellStyle name="Обычный 6 2 2 3 4 2 3 2 2" xfId="4518"/>
    <cellStyle name="Обычный 6 2 2 3 4 2 3 2 2 2" xfId="9636"/>
    <cellStyle name="Обычный 6 2 2 3 4 2 3 2 2 2 2" xfId="11385"/>
    <cellStyle name="Обычный 6 2 2 3 4 2 3 2 2 3" xfId="11386"/>
    <cellStyle name="Обычный 6 2 2 3 4 2 3 2 3" xfId="7580"/>
    <cellStyle name="Обычный 6 2 2 3 4 2 3 2 3 2" xfId="11387"/>
    <cellStyle name="Обычный 6 2 2 3 4 2 3 2 4" xfId="11388"/>
    <cellStyle name="Обычный 6 2 2 3 4 2 3 3" xfId="3490"/>
    <cellStyle name="Обычный 6 2 2 3 4 2 3 3 2" xfId="8608"/>
    <cellStyle name="Обычный 6 2 2 3 4 2 3 3 2 2" xfId="11389"/>
    <cellStyle name="Обычный 6 2 2 3 4 2 3 3 3" xfId="11390"/>
    <cellStyle name="Обычный 6 2 2 3 4 2 3 4" xfId="6552"/>
    <cellStyle name="Обычный 6 2 2 3 4 2 3 4 2" xfId="11391"/>
    <cellStyle name="Обычный 6 2 2 3 4 2 3 5" xfId="11392"/>
    <cellStyle name="Обычный 6 2 2 3 4 2 4" xfId="1032"/>
    <cellStyle name="Обычный 6 2 2 3 4 2 4 2" xfId="2151"/>
    <cellStyle name="Обычный 6 2 2 3 4 2 4 2 2" xfId="4689"/>
    <cellStyle name="Обычный 6 2 2 3 4 2 4 2 2 2" xfId="9807"/>
    <cellStyle name="Обычный 6 2 2 3 4 2 4 2 2 2 2" xfId="11393"/>
    <cellStyle name="Обычный 6 2 2 3 4 2 4 2 2 3" xfId="11394"/>
    <cellStyle name="Обычный 6 2 2 3 4 2 4 2 3" xfId="7751"/>
    <cellStyle name="Обычный 6 2 2 3 4 2 4 2 3 2" xfId="11395"/>
    <cellStyle name="Обычный 6 2 2 3 4 2 4 2 4" xfId="11396"/>
    <cellStyle name="Обычный 6 2 2 3 4 2 4 3" xfId="3661"/>
    <cellStyle name="Обычный 6 2 2 3 4 2 4 3 2" xfId="8779"/>
    <cellStyle name="Обычный 6 2 2 3 4 2 4 3 2 2" xfId="11397"/>
    <cellStyle name="Обычный 6 2 2 3 4 2 4 3 3" xfId="11398"/>
    <cellStyle name="Обычный 6 2 2 3 4 2 4 4" xfId="6723"/>
    <cellStyle name="Обычный 6 2 2 3 4 2 4 4 2" xfId="11399"/>
    <cellStyle name="Обычный 6 2 2 3 4 2 4 5" xfId="11400"/>
    <cellStyle name="Обычный 6 2 2 3 4 2 5" xfId="1213"/>
    <cellStyle name="Обычный 6 2 2 3 4 2 5 2" xfId="2322"/>
    <cellStyle name="Обычный 6 2 2 3 4 2 5 2 2" xfId="4860"/>
    <cellStyle name="Обычный 6 2 2 3 4 2 5 2 2 2" xfId="9978"/>
    <cellStyle name="Обычный 6 2 2 3 4 2 5 2 2 2 2" xfId="11401"/>
    <cellStyle name="Обычный 6 2 2 3 4 2 5 2 2 3" xfId="11402"/>
    <cellStyle name="Обычный 6 2 2 3 4 2 5 2 3" xfId="7922"/>
    <cellStyle name="Обычный 6 2 2 3 4 2 5 2 3 2" xfId="11403"/>
    <cellStyle name="Обычный 6 2 2 3 4 2 5 2 4" xfId="11404"/>
    <cellStyle name="Обычный 6 2 2 3 4 2 5 3" xfId="3832"/>
    <cellStyle name="Обычный 6 2 2 3 4 2 5 3 2" xfId="8950"/>
    <cellStyle name="Обычный 6 2 2 3 4 2 5 3 2 2" xfId="11405"/>
    <cellStyle name="Обычный 6 2 2 3 4 2 5 3 3" xfId="11406"/>
    <cellStyle name="Обычный 6 2 2 3 4 2 5 4" xfId="6894"/>
    <cellStyle name="Обычный 6 2 2 3 4 2 5 4 2" xfId="11407"/>
    <cellStyle name="Обычный 6 2 2 3 4 2 5 5" xfId="11408"/>
    <cellStyle name="Обычный 6 2 2 3 4 2 6" xfId="1387"/>
    <cellStyle name="Обычный 6 2 2 3 4 2 6 2" xfId="2493"/>
    <cellStyle name="Обычный 6 2 2 3 4 2 6 2 2" xfId="5031"/>
    <cellStyle name="Обычный 6 2 2 3 4 2 6 2 2 2" xfId="10149"/>
    <cellStyle name="Обычный 6 2 2 3 4 2 6 2 2 2 2" xfId="11409"/>
    <cellStyle name="Обычный 6 2 2 3 4 2 6 2 2 3" xfId="11410"/>
    <cellStyle name="Обычный 6 2 2 3 4 2 6 2 3" xfId="8093"/>
    <cellStyle name="Обычный 6 2 2 3 4 2 6 2 3 2" xfId="11411"/>
    <cellStyle name="Обычный 6 2 2 3 4 2 6 2 4" xfId="11412"/>
    <cellStyle name="Обычный 6 2 2 3 4 2 6 3" xfId="4003"/>
    <cellStyle name="Обычный 6 2 2 3 4 2 6 3 2" xfId="9121"/>
    <cellStyle name="Обычный 6 2 2 3 4 2 6 3 2 2" xfId="11413"/>
    <cellStyle name="Обычный 6 2 2 3 4 2 6 3 3" xfId="11414"/>
    <cellStyle name="Обычный 6 2 2 3 4 2 6 4" xfId="7065"/>
    <cellStyle name="Обычный 6 2 2 3 4 2 6 4 2" xfId="11415"/>
    <cellStyle name="Обычный 6 2 2 3 4 2 6 5" xfId="11416"/>
    <cellStyle name="Обычный 6 2 2 3 4 2 7" xfId="1558"/>
    <cellStyle name="Обычный 6 2 2 3 4 2 7 2" xfId="2664"/>
    <cellStyle name="Обычный 6 2 2 3 4 2 7 2 2" xfId="5202"/>
    <cellStyle name="Обычный 6 2 2 3 4 2 7 2 2 2" xfId="10320"/>
    <cellStyle name="Обычный 6 2 2 3 4 2 7 2 2 2 2" xfId="11417"/>
    <cellStyle name="Обычный 6 2 2 3 4 2 7 2 2 3" xfId="11418"/>
    <cellStyle name="Обычный 6 2 2 3 4 2 7 2 3" xfId="8264"/>
    <cellStyle name="Обычный 6 2 2 3 4 2 7 2 3 2" xfId="11419"/>
    <cellStyle name="Обычный 6 2 2 3 4 2 7 2 4" xfId="11420"/>
    <cellStyle name="Обычный 6 2 2 3 4 2 7 3" xfId="4174"/>
    <cellStyle name="Обычный 6 2 2 3 4 2 7 3 2" xfId="9292"/>
    <cellStyle name="Обычный 6 2 2 3 4 2 7 3 2 2" xfId="11421"/>
    <cellStyle name="Обычный 6 2 2 3 4 2 7 3 3" xfId="11422"/>
    <cellStyle name="Обычный 6 2 2 3 4 2 7 4" xfId="7236"/>
    <cellStyle name="Обычный 6 2 2 3 4 2 7 4 2" xfId="11423"/>
    <cellStyle name="Обычный 6 2 2 3 4 2 7 5" xfId="11424"/>
    <cellStyle name="Обычный 6 2 2 3 4 2 8" xfId="2976"/>
    <cellStyle name="Обычный 6 2 2 3 5" xfId="208"/>
    <cellStyle name="Обычный 6 2 2 3 5 2" xfId="675"/>
    <cellStyle name="Обычный 6 2 2 3 5 2 2" xfId="1803"/>
    <cellStyle name="Обычный 6 2 2 3 5 2 2 2" xfId="4346"/>
    <cellStyle name="Обычный 6 2 2 3 5 2 2 2 2" xfId="9464"/>
    <cellStyle name="Обычный 6 2 2 3 5 2 2 2 2 2" xfId="11425"/>
    <cellStyle name="Обычный 6 2 2 3 5 2 2 2 3" xfId="11426"/>
    <cellStyle name="Обычный 6 2 2 3 5 2 2 3" xfId="7408"/>
    <cellStyle name="Обычный 6 2 2 3 5 2 2 3 2" xfId="11427"/>
    <cellStyle name="Обычный 6 2 2 3 5 2 2 4" xfId="11428"/>
    <cellStyle name="Обычный 6 2 2 3 5 2 3" xfId="3318"/>
    <cellStyle name="Обычный 6 2 2 3 5 2 3 2" xfId="8436"/>
    <cellStyle name="Обычный 6 2 2 3 5 2 3 2 2" xfId="11429"/>
    <cellStyle name="Обычный 6 2 2 3 5 2 3 3" xfId="11430"/>
    <cellStyle name="Обычный 6 2 2 3 5 2 4" xfId="6380"/>
    <cellStyle name="Обычный 6 2 2 3 5 2 4 2" xfId="11431"/>
    <cellStyle name="Обычный 6 2 2 3 5 2 5" xfId="11432"/>
    <cellStyle name="Обычный 6 2 2 3 5 3" xfId="862"/>
    <cellStyle name="Обычный 6 2 2 3 5 3 2" xfId="1981"/>
    <cellStyle name="Обычный 6 2 2 3 5 3 2 2" xfId="4519"/>
    <cellStyle name="Обычный 6 2 2 3 5 3 2 2 2" xfId="9637"/>
    <cellStyle name="Обычный 6 2 2 3 5 3 2 2 2 2" xfId="11433"/>
    <cellStyle name="Обычный 6 2 2 3 5 3 2 2 3" xfId="11434"/>
    <cellStyle name="Обычный 6 2 2 3 5 3 2 3" xfId="7581"/>
    <cellStyle name="Обычный 6 2 2 3 5 3 2 3 2" xfId="11435"/>
    <cellStyle name="Обычный 6 2 2 3 5 3 2 4" xfId="11436"/>
    <cellStyle name="Обычный 6 2 2 3 5 3 3" xfId="3491"/>
    <cellStyle name="Обычный 6 2 2 3 5 3 3 2" xfId="8609"/>
    <cellStyle name="Обычный 6 2 2 3 5 3 3 2 2" xfId="11437"/>
    <cellStyle name="Обычный 6 2 2 3 5 3 3 3" xfId="11438"/>
    <cellStyle name="Обычный 6 2 2 3 5 3 4" xfId="6553"/>
    <cellStyle name="Обычный 6 2 2 3 5 3 4 2" xfId="11439"/>
    <cellStyle name="Обычный 6 2 2 3 5 3 5" xfId="11440"/>
    <cellStyle name="Обычный 6 2 2 3 5 4" xfId="1033"/>
    <cellStyle name="Обычный 6 2 2 3 5 4 2" xfId="2152"/>
    <cellStyle name="Обычный 6 2 2 3 5 4 2 2" xfId="4690"/>
    <cellStyle name="Обычный 6 2 2 3 5 4 2 2 2" xfId="9808"/>
    <cellStyle name="Обычный 6 2 2 3 5 4 2 2 2 2" xfId="11441"/>
    <cellStyle name="Обычный 6 2 2 3 5 4 2 2 3" xfId="11442"/>
    <cellStyle name="Обычный 6 2 2 3 5 4 2 3" xfId="7752"/>
    <cellStyle name="Обычный 6 2 2 3 5 4 2 3 2" xfId="11443"/>
    <cellStyle name="Обычный 6 2 2 3 5 4 2 4" xfId="11444"/>
    <cellStyle name="Обычный 6 2 2 3 5 4 3" xfId="3662"/>
    <cellStyle name="Обычный 6 2 2 3 5 4 3 2" xfId="8780"/>
    <cellStyle name="Обычный 6 2 2 3 5 4 3 2 2" xfId="11445"/>
    <cellStyle name="Обычный 6 2 2 3 5 4 3 3" xfId="11446"/>
    <cellStyle name="Обычный 6 2 2 3 5 4 4" xfId="6724"/>
    <cellStyle name="Обычный 6 2 2 3 5 4 4 2" xfId="11447"/>
    <cellStyle name="Обычный 6 2 2 3 5 4 5" xfId="11448"/>
    <cellStyle name="Обычный 6 2 2 3 5 5" xfId="1214"/>
    <cellStyle name="Обычный 6 2 2 3 5 5 2" xfId="2323"/>
    <cellStyle name="Обычный 6 2 2 3 5 5 2 2" xfId="4861"/>
    <cellStyle name="Обычный 6 2 2 3 5 5 2 2 2" xfId="9979"/>
    <cellStyle name="Обычный 6 2 2 3 5 5 2 2 2 2" xfId="11449"/>
    <cellStyle name="Обычный 6 2 2 3 5 5 2 2 3" xfId="11450"/>
    <cellStyle name="Обычный 6 2 2 3 5 5 2 3" xfId="7923"/>
    <cellStyle name="Обычный 6 2 2 3 5 5 2 3 2" xfId="11451"/>
    <cellStyle name="Обычный 6 2 2 3 5 5 2 4" xfId="11452"/>
    <cellStyle name="Обычный 6 2 2 3 5 5 3" xfId="3833"/>
    <cellStyle name="Обычный 6 2 2 3 5 5 3 2" xfId="8951"/>
    <cellStyle name="Обычный 6 2 2 3 5 5 3 2 2" xfId="11453"/>
    <cellStyle name="Обычный 6 2 2 3 5 5 3 3" xfId="11454"/>
    <cellStyle name="Обычный 6 2 2 3 5 5 4" xfId="6895"/>
    <cellStyle name="Обычный 6 2 2 3 5 5 4 2" xfId="11455"/>
    <cellStyle name="Обычный 6 2 2 3 5 5 5" xfId="11456"/>
    <cellStyle name="Обычный 6 2 2 3 5 6" xfId="1388"/>
    <cellStyle name="Обычный 6 2 2 3 5 6 2" xfId="2494"/>
    <cellStyle name="Обычный 6 2 2 3 5 6 2 2" xfId="5032"/>
    <cellStyle name="Обычный 6 2 2 3 5 6 2 2 2" xfId="10150"/>
    <cellStyle name="Обычный 6 2 2 3 5 6 2 2 2 2" xfId="11457"/>
    <cellStyle name="Обычный 6 2 2 3 5 6 2 2 3" xfId="11458"/>
    <cellStyle name="Обычный 6 2 2 3 5 6 2 3" xfId="8094"/>
    <cellStyle name="Обычный 6 2 2 3 5 6 2 3 2" xfId="11459"/>
    <cellStyle name="Обычный 6 2 2 3 5 6 2 4" xfId="11460"/>
    <cellStyle name="Обычный 6 2 2 3 5 6 3" xfId="4004"/>
    <cellStyle name="Обычный 6 2 2 3 5 6 3 2" xfId="9122"/>
    <cellStyle name="Обычный 6 2 2 3 5 6 3 2 2" xfId="11461"/>
    <cellStyle name="Обычный 6 2 2 3 5 6 3 3" xfId="11462"/>
    <cellStyle name="Обычный 6 2 2 3 5 6 4" xfId="7066"/>
    <cellStyle name="Обычный 6 2 2 3 5 6 4 2" xfId="11463"/>
    <cellStyle name="Обычный 6 2 2 3 5 6 5" xfId="11464"/>
    <cellStyle name="Обычный 6 2 2 3 5 7" xfId="1559"/>
    <cellStyle name="Обычный 6 2 2 3 5 7 2" xfId="2665"/>
    <cellStyle name="Обычный 6 2 2 3 5 7 2 2" xfId="5203"/>
    <cellStyle name="Обычный 6 2 2 3 5 7 2 2 2" xfId="10321"/>
    <cellStyle name="Обычный 6 2 2 3 5 7 2 2 2 2" xfId="11465"/>
    <cellStyle name="Обычный 6 2 2 3 5 7 2 2 3" xfId="11466"/>
    <cellStyle name="Обычный 6 2 2 3 5 7 2 3" xfId="8265"/>
    <cellStyle name="Обычный 6 2 2 3 5 7 2 3 2" xfId="11467"/>
    <cellStyle name="Обычный 6 2 2 3 5 7 2 4" xfId="11468"/>
    <cellStyle name="Обычный 6 2 2 3 5 7 3" xfId="4175"/>
    <cellStyle name="Обычный 6 2 2 3 5 7 3 2" xfId="9293"/>
    <cellStyle name="Обычный 6 2 2 3 5 7 3 2 2" xfId="11469"/>
    <cellStyle name="Обычный 6 2 2 3 5 7 3 3" xfId="11470"/>
    <cellStyle name="Обычный 6 2 2 3 5 7 4" xfId="7237"/>
    <cellStyle name="Обычный 6 2 2 3 5 7 4 2" xfId="11471"/>
    <cellStyle name="Обычный 6 2 2 3 5 7 5" xfId="11472"/>
    <cellStyle name="Обычный 6 2 2 3 5 8" xfId="2977"/>
    <cellStyle name="Обычный 6 2 2 4" xfId="209"/>
    <cellStyle name="Обычный 6 2 2 4 2" xfId="210"/>
    <cellStyle name="Обычный 6 2 2 4 2 2" xfId="211"/>
    <cellStyle name="Обычный 6 2 2 4 2 2 2" xfId="212"/>
    <cellStyle name="Обычный 6 2 2 4 2 2 2 2" xfId="676"/>
    <cellStyle name="Обычный 6 2 2 4 2 2 2 2 2" xfId="1804"/>
    <cellStyle name="Обычный 6 2 2 4 2 2 2 2 2 2" xfId="4347"/>
    <cellStyle name="Обычный 6 2 2 4 2 2 2 2 2 2 2" xfId="9465"/>
    <cellStyle name="Обычный 6 2 2 4 2 2 2 2 2 2 2 2" xfId="11473"/>
    <cellStyle name="Обычный 6 2 2 4 2 2 2 2 2 2 3" xfId="11474"/>
    <cellStyle name="Обычный 6 2 2 4 2 2 2 2 2 3" xfId="7409"/>
    <cellStyle name="Обычный 6 2 2 4 2 2 2 2 2 3 2" xfId="11475"/>
    <cellStyle name="Обычный 6 2 2 4 2 2 2 2 2 4" xfId="11476"/>
    <cellStyle name="Обычный 6 2 2 4 2 2 2 2 3" xfId="3319"/>
    <cellStyle name="Обычный 6 2 2 4 2 2 2 2 3 2" xfId="8437"/>
    <cellStyle name="Обычный 6 2 2 4 2 2 2 2 3 2 2" xfId="11477"/>
    <cellStyle name="Обычный 6 2 2 4 2 2 2 2 3 3" xfId="11478"/>
    <cellStyle name="Обычный 6 2 2 4 2 2 2 2 4" xfId="6381"/>
    <cellStyle name="Обычный 6 2 2 4 2 2 2 2 4 2" xfId="11479"/>
    <cellStyle name="Обычный 6 2 2 4 2 2 2 2 5" xfId="11480"/>
    <cellStyle name="Обычный 6 2 2 4 2 2 2 3" xfId="863"/>
    <cellStyle name="Обычный 6 2 2 4 2 2 2 3 2" xfId="1982"/>
    <cellStyle name="Обычный 6 2 2 4 2 2 2 3 2 2" xfId="4520"/>
    <cellStyle name="Обычный 6 2 2 4 2 2 2 3 2 2 2" xfId="9638"/>
    <cellStyle name="Обычный 6 2 2 4 2 2 2 3 2 2 2 2" xfId="11481"/>
    <cellStyle name="Обычный 6 2 2 4 2 2 2 3 2 2 3" xfId="11482"/>
    <cellStyle name="Обычный 6 2 2 4 2 2 2 3 2 3" xfId="7582"/>
    <cellStyle name="Обычный 6 2 2 4 2 2 2 3 2 3 2" xfId="11483"/>
    <cellStyle name="Обычный 6 2 2 4 2 2 2 3 2 4" xfId="11484"/>
    <cellStyle name="Обычный 6 2 2 4 2 2 2 3 3" xfId="3492"/>
    <cellStyle name="Обычный 6 2 2 4 2 2 2 3 3 2" xfId="8610"/>
    <cellStyle name="Обычный 6 2 2 4 2 2 2 3 3 2 2" xfId="11485"/>
    <cellStyle name="Обычный 6 2 2 4 2 2 2 3 3 3" xfId="11486"/>
    <cellStyle name="Обычный 6 2 2 4 2 2 2 3 4" xfId="6554"/>
    <cellStyle name="Обычный 6 2 2 4 2 2 2 3 4 2" xfId="11487"/>
    <cellStyle name="Обычный 6 2 2 4 2 2 2 3 5" xfId="11488"/>
    <cellStyle name="Обычный 6 2 2 4 2 2 2 4" xfId="1034"/>
    <cellStyle name="Обычный 6 2 2 4 2 2 2 4 2" xfId="2153"/>
    <cellStyle name="Обычный 6 2 2 4 2 2 2 4 2 2" xfId="4691"/>
    <cellStyle name="Обычный 6 2 2 4 2 2 2 4 2 2 2" xfId="9809"/>
    <cellStyle name="Обычный 6 2 2 4 2 2 2 4 2 2 2 2" xfId="11489"/>
    <cellStyle name="Обычный 6 2 2 4 2 2 2 4 2 2 3" xfId="11490"/>
    <cellStyle name="Обычный 6 2 2 4 2 2 2 4 2 3" xfId="7753"/>
    <cellStyle name="Обычный 6 2 2 4 2 2 2 4 2 3 2" xfId="11491"/>
    <cellStyle name="Обычный 6 2 2 4 2 2 2 4 2 4" xfId="11492"/>
    <cellStyle name="Обычный 6 2 2 4 2 2 2 4 3" xfId="3663"/>
    <cellStyle name="Обычный 6 2 2 4 2 2 2 4 3 2" xfId="8781"/>
    <cellStyle name="Обычный 6 2 2 4 2 2 2 4 3 2 2" xfId="11493"/>
    <cellStyle name="Обычный 6 2 2 4 2 2 2 4 3 3" xfId="11494"/>
    <cellStyle name="Обычный 6 2 2 4 2 2 2 4 4" xfId="6725"/>
    <cellStyle name="Обычный 6 2 2 4 2 2 2 4 4 2" xfId="11495"/>
    <cellStyle name="Обычный 6 2 2 4 2 2 2 4 5" xfId="11496"/>
    <cellStyle name="Обычный 6 2 2 4 2 2 2 5" xfId="1215"/>
    <cellStyle name="Обычный 6 2 2 4 2 2 2 5 2" xfId="2324"/>
    <cellStyle name="Обычный 6 2 2 4 2 2 2 5 2 2" xfId="4862"/>
    <cellStyle name="Обычный 6 2 2 4 2 2 2 5 2 2 2" xfId="9980"/>
    <cellStyle name="Обычный 6 2 2 4 2 2 2 5 2 2 2 2" xfId="11497"/>
    <cellStyle name="Обычный 6 2 2 4 2 2 2 5 2 2 3" xfId="11498"/>
    <cellStyle name="Обычный 6 2 2 4 2 2 2 5 2 3" xfId="7924"/>
    <cellStyle name="Обычный 6 2 2 4 2 2 2 5 2 3 2" xfId="11499"/>
    <cellStyle name="Обычный 6 2 2 4 2 2 2 5 2 4" xfId="11500"/>
    <cellStyle name="Обычный 6 2 2 4 2 2 2 5 3" xfId="3834"/>
    <cellStyle name="Обычный 6 2 2 4 2 2 2 5 3 2" xfId="8952"/>
    <cellStyle name="Обычный 6 2 2 4 2 2 2 5 3 2 2" xfId="11501"/>
    <cellStyle name="Обычный 6 2 2 4 2 2 2 5 3 3" xfId="11502"/>
    <cellStyle name="Обычный 6 2 2 4 2 2 2 5 4" xfId="6896"/>
    <cellStyle name="Обычный 6 2 2 4 2 2 2 5 4 2" xfId="11503"/>
    <cellStyle name="Обычный 6 2 2 4 2 2 2 5 5" xfId="11504"/>
    <cellStyle name="Обычный 6 2 2 4 2 2 2 6" xfId="1389"/>
    <cellStyle name="Обычный 6 2 2 4 2 2 2 6 2" xfId="2495"/>
    <cellStyle name="Обычный 6 2 2 4 2 2 2 6 2 2" xfId="5033"/>
    <cellStyle name="Обычный 6 2 2 4 2 2 2 6 2 2 2" xfId="10151"/>
    <cellStyle name="Обычный 6 2 2 4 2 2 2 6 2 2 2 2" xfId="11505"/>
    <cellStyle name="Обычный 6 2 2 4 2 2 2 6 2 2 3" xfId="11506"/>
    <cellStyle name="Обычный 6 2 2 4 2 2 2 6 2 3" xfId="8095"/>
    <cellStyle name="Обычный 6 2 2 4 2 2 2 6 2 3 2" xfId="11507"/>
    <cellStyle name="Обычный 6 2 2 4 2 2 2 6 2 4" xfId="11508"/>
    <cellStyle name="Обычный 6 2 2 4 2 2 2 6 3" xfId="4005"/>
    <cellStyle name="Обычный 6 2 2 4 2 2 2 6 3 2" xfId="9123"/>
    <cellStyle name="Обычный 6 2 2 4 2 2 2 6 3 2 2" xfId="11509"/>
    <cellStyle name="Обычный 6 2 2 4 2 2 2 6 3 3" xfId="11510"/>
    <cellStyle name="Обычный 6 2 2 4 2 2 2 6 4" xfId="7067"/>
    <cellStyle name="Обычный 6 2 2 4 2 2 2 6 4 2" xfId="11511"/>
    <cellStyle name="Обычный 6 2 2 4 2 2 2 6 5" xfId="11512"/>
    <cellStyle name="Обычный 6 2 2 4 2 2 2 7" xfId="1560"/>
    <cellStyle name="Обычный 6 2 2 4 2 2 2 7 2" xfId="2666"/>
    <cellStyle name="Обычный 6 2 2 4 2 2 2 7 2 2" xfId="5204"/>
    <cellStyle name="Обычный 6 2 2 4 2 2 2 7 2 2 2" xfId="10322"/>
    <cellStyle name="Обычный 6 2 2 4 2 2 2 7 2 2 2 2" xfId="11513"/>
    <cellStyle name="Обычный 6 2 2 4 2 2 2 7 2 2 3" xfId="11514"/>
    <cellStyle name="Обычный 6 2 2 4 2 2 2 7 2 3" xfId="8266"/>
    <cellStyle name="Обычный 6 2 2 4 2 2 2 7 2 3 2" xfId="11515"/>
    <cellStyle name="Обычный 6 2 2 4 2 2 2 7 2 4" xfId="11516"/>
    <cellStyle name="Обычный 6 2 2 4 2 2 2 7 3" xfId="4176"/>
    <cellStyle name="Обычный 6 2 2 4 2 2 2 7 3 2" xfId="9294"/>
    <cellStyle name="Обычный 6 2 2 4 2 2 2 7 3 2 2" xfId="11517"/>
    <cellStyle name="Обычный 6 2 2 4 2 2 2 7 3 3" xfId="11518"/>
    <cellStyle name="Обычный 6 2 2 4 2 2 2 7 4" xfId="7238"/>
    <cellStyle name="Обычный 6 2 2 4 2 2 2 7 4 2" xfId="11519"/>
    <cellStyle name="Обычный 6 2 2 4 2 2 2 7 5" xfId="11520"/>
    <cellStyle name="Обычный 6 2 2 4 2 2 2 8" xfId="2978"/>
    <cellStyle name="Обычный 6 2 2 4 2 3" xfId="213"/>
    <cellStyle name="Обычный 6 2 2 4 2 3 2" xfId="214"/>
    <cellStyle name="Обычный 6 2 2 4 2 3 2 2" xfId="677"/>
    <cellStyle name="Обычный 6 2 2 4 2 3 2 2 2" xfId="1805"/>
    <cellStyle name="Обычный 6 2 2 4 2 3 2 2 2 2" xfId="4348"/>
    <cellStyle name="Обычный 6 2 2 4 2 3 2 2 2 2 2" xfId="9466"/>
    <cellStyle name="Обычный 6 2 2 4 2 3 2 2 2 2 2 2" xfId="11521"/>
    <cellStyle name="Обычный 6 2 2 4 2 3 2 2 2 2 3" xfId="11522"/>
    <cellStyle name="Обычный 6 2 2 4 2 3 2 2 2 3" xfId="7410"/>
    <cellStyle name="Обычный 6 2 2 4 2 3 2 2 2 3 2" xfId="11523"/>
    <cellStyle name="Обычный 6 2 2 4 2 3 2 2 2 4" xfId="11524"/>
    <cellStyle name="Обычный 6 2 2 4 2 3 2 2 3" xfId="3320"/>
    <cellStyle name="Обычный 6 2 2 4 2 3 2 2 3 2" xfId="8438"/>
    <cellStyle name="Обычный 6 2 2 4 2 3 2 2 3 2 2" xfId="11525"/>
    <cellStyle name="Обычный 6 2 2 4 2 3 2 2 3 3" xfId="11526"/>
    <cellStyle name="Обычный 6 2 2 4 2 3 2 2 4" xfId="6382"/>
    <cellStyle name="Обычный 6 2 2 4 2 3 2 2 4 2" xfId="11527"/>
    <cellStyle name="Обычный 6 2 2 4 2 3 2 2 5" xfId="11528"/>
    <cellStyle name="Обычный 6 2 2 4 2 3 2 3" xfId="864"/>
    <cellStyle name="Обычный 6 2 2 4 2 3 2 3 2" xfId="1983"/>
    <cellStyle name="Обычный 6 2 2 4 2 3 2 3 2 2" xfId="4521"/>
    <cellStyle name="Обычный 6 2 2 4 2 3 2 3 2 2 2" xfId="9639"/>
    <cellStyle name="Обычный 6 2 2 4 2 3 2 3 2 2 2 2" xfId="11529"/>
    <cellStyle name="Обычный 6 2 2 4 2 3 2 3 2 2 3" xfId="11530"/>
    <cellStyle name="Обычный 6 2 2 4 2 3 2 3 2 3" xfId="7583"/>
    <cellStyle name="Обычный 6 2 2 4 2 3 2 3 2 3 2" xfId="11531"/>
    <cellStyle name="Обычный 6 2 2 4 2 3 2 3 2 4" xfId="11532"/>
    <cellStyle name="Обычный 6 2 2 4 2 3 2 3 3" xfId="3493"/>
    <cellStyle name="Обычный 6 2 2 4 2 3 2 3 3 2" xfId="8611"/>
    <cellStyle name="Обычный 6 2 2 4 2 3 2 3 3 2 2" xfId="11533"/>
    <cellStyle name="Обычный 6 2 2 4 2 3 2 3 3 3" xfId="11534"/>
    <cellStyle name="Обычный 6 2 2 4 2 3 2 3 4" xfId="6555"/>
    <cellStyle name="Обычный 6 2 2 4 2 3 2 3 4 2" xfId="11535"/>
    <cellStyle name="Обычный 6 2 2 4 2 3 2 3 5" xfId="11536"/>
    <cellStyle name="Обычный 6 2 2 4 2 3 2 4" xfId="1035"/>
    <cellStyle name="Обычный 6 2 2 4 2 3 2 4 2" xfId="2154"/>
    <cellStyle name="Обычный 6 2 2 4 2 3 2 4 2 2" xfId="4692"/>
    <cellStyle name="Обычный 6 2 2 4 2 3 2 4 2 2 2" xfId="9810"/>
    <cellStyle name="Обычный 6 2 2 4 2 3 2 4 2 2 2 2" xfId="11537"/>
    <cellStyle name="Обычный 6 2 2 4 2 3 2 4 2 2 3" xfId="11538"/>
    <cellStyle name="Обычный 6 2 2 4 2 3 2 4 2 3" xfId="7754"/>
    <cellStyle name="Обычный 6 2 2 4 2 3 2 4 2 3 2" xfId="11539"/>
    <cellStyle name="Обычный 6 2 2 4 2 3 2 4 2 4" xfId="11540"/>
    <cellStyle name="Обычный 6 2 2 4 2 3 2 4 3" xfId="3664"/>
    <cellStyle name="Обычный 6 2 2 4 2 3 2 4 3 2" xfId="8782"/>
    <cellStyle name="Обычный 6 2 2 4 2 3 2 4 3 2 2" xfId="11541"/>
    <cellStyle name="Обычный 6 2 2 4 2 3 2 4 3 3" xfId="11542"/>
    <cellStyle name="Обычный 6 2 2 4 2 3 2 4 4" xfId="6726"/>
    <cellStyle name="Обычный 6 2 2 4 2 3 2 4 4 2" xfId="11543"/>
    <cellStyle name="Обычный 6 2 2 4 2 3 2 4 5" xfId="11544"/>
    <cellStyle name="Обычный 6 2 2 4 2 3 2 5" xfId="1216"/>
    <cellStyle name="Обычный 6 2 2 4 2 3 2 5 2" xfId="2325"/>
    <cellStyle name="Обычный 6 2 2 4 2 3 2 5 2 2" xfId="4863"/>
    <cellStyle name="Обычный 6 2 2 4 2 3 2 5 2 2 2" xfId="9981"/>
    <cellStyle name="Обычный 6 2 2 4 2 3 2 5 2 2 2 2" xfId="11545"/>
    <cellStyle name="Обычный 6 2 2 4 2 3 2 5 2 2 3" xfId="11546"/>
    <cellStyle name="Обычный 6 2 2 4 2 3 2 5 2 3" xfId="7925"/>
    <cellStyle name="Обычный 6 2 2 4 2 3 2 5 2 3 2" xfId="11547"/>
    <cellStyle name="Обычный 6 2 2 4 2 3 2 5 2 4" xfId="11548"/>
    <cellStyle name="Обычный 6 2 2 4 2 3 2 5 3" xfId="3835"/>
    <cellStyle name="Обычный 6 2 2 4 2 3 2 5 3 2" xfId="8953"/>
    <cellStyle name="Обычный 6 2 2 4 2 3 2 5 3 2 2" xfId="11549"/>
    <cellStyle name="Обычный 6 2 2 4 2 3 2 5 3 3" xfId="11550"/>
    <cellStyle name="Обычный 6 2 2 4 2 3 2 5 4" xfId="6897"/>
    <cellStyle name="Обычный 6 2 2 4 2 3 2 5 4 2" xfId="11551"/>
    <cellStyle name="Обычный 6 2 2 4 2 3 2 5 5" xfId="11552"/>
    <cellStyle name="Обычный 6 2 2 4 2 3 2 6" xfId="1390"/>
    <cellStyle name="Обычный 6 2 2 4 2 3 2 6 2" xfId="2496"/>
    <cellStyle name="Обычный 6 2 2 4 2 3 2 6 2 2" xfId="5034"/>
    <cellStyle name="Обычный 6 2 2 4 2 3 2 6 2 2 2" xfId="10152"/>
    <cellStyle name="Обычный 6 2 2 4 2 3 2 6 2 2 2 2" xfId="11553"/>
    <cellStyle name="Обычный 6 2 2 4 2 3 2 6 2 2 3" xfId="11554"/>
    <cellStyle name="Обычный 6 2 2 4 2 3 2 6 2 3" xfId="8096"/>
    <cellStyle name="Обычный 6 2 2 4 2 3 2 6 2 3 2" xfId="11555"/>
    <cellStyle name="Обычный 6 2 2 4 2 3 2 6 2 4" xfId="11556"/>
    <cellStyle name="Обычный 6 2 2 4 2 3 2 6 3" xfId="4006"/>
    <cellStyle name="Обычный 6 2 2 4 2 3 2 6 3 2" xfId="9124"/>
    <cellStyle name="Обычный 6 2 2 4 2 3 2 6 3 2 2" xfId="11557"/>
    <cellStyle name="Обычный 6 2 2 4 2 3 2 6 3 3" xfId="11558"/>
    <cellStyle name="Обычный 6 2 2 4 2 3 2 6 4" xfId="7068"/>
    <cellStyle name="Обычный 6 2 2 4 2 3 2 6 4 2" xfId="11559"/>
    <cellStyle name="Обычный 6 2 2 4 2 3 2 6 5" xfId="11560"/>
    <cellStyle name="Обычный 6 2 2 4 2 3 2 7" xfId="1561"/>
    <cellStyle name="Обычный 6 2 2 4 2 3 2 7 2" xfId="2667"/>
    <cellStyle name="Обычный 6 2 2 4 2 3 2 7 2 2" xfId="5205"/>
    <cellStyle name="Обычный 6 2 2 4 2 3 2 7 2 2 2" xfId="10323"/>
    <cellStyle name="Обычный 6 2 2 4 2 3 2 7 2 2 2 2" xfId="11561"/>
    <cellStyle name="Обычный 6 2 2 4 2 3 2 7 2 2 3" xfId="11562"/>
    <cellStyle name="Обычный 6 2 2 4 2 3 2 7 2 3" xfId="8267"/>
    <cellStyle name="Обычный 6 2 2 4 2 3 2 7 2 3 2" xfId="11563"/>
    <cellStyle name="Обычный 6 2 2 4 2 3 2 7 2 4" xfId="11564"/>
    <cellStyle name="Обычный 6 2 2 4 2 3 2 7 3" xfId="4177"/>
    <cellStyle name="Обычный 6 2 2 4 2 3 2 7 3 2" xfId="9295"/>
    <cellStyle name="Обычный 6 2 2 4 2 3 2 7 3 2 2" xfId="11565"/>
    <cellStyle name="Обычный 6 2 2 4 2 3 2 7 3 3" xfId="11566"/>
    <cellStyle name="Обычный 6 2 2 4 2 3 2 7 4" xfId="7239"/>
    <cellStyle name="Обычный 6 2 2 4 2 3 2 7 4 2" xfId="11567"/>
    <cellStyle name="Обычный 6 2 2 4 2 3 2 7 5" xfId="11568"/>
    <cellStyle name="Обычный 6 2 2 4 2 3 2 8" xfId="2979"/>
    <cellStyle name="Обычный 6 2 2 4 2 4" xfId="215"/>
    <cellStyle name="Обычный 6 2 2 4 2 4 2" xfId="678"/>
    <cellStyle name="Обычный 6 2 2 4 2 4 2 2" xfId="1806"/>
    <cellStyle name="Обычный 6 2 2 4 2 4 2 2 2" xfId="4349"/>
    <cellStyle name="Обычный 6 2 2 4 2 4 2 2 2 2" xfId="9467"/>
    <cellStyle name="Обычный 6 2 2 4 2 4 2 2 2 2 2" xfId="11569"/>
    <cellStyle name="Обычный 6 2 2 4 2 4 2 2 2 3" xfId="11570"/>
    <cellStyle name="Обычный 6 2 2 4 2 4 2 2 3" xfId="7411"/>
    <cellStyle name="Обычный 6 2 2 4 2 4 2 2 3 2" xfId="11571"/>
    <cellStyle name="Обычный 6 2 2 4 2 4 2 2 4" xfId="11572"/>
    <cellStyle name="Обычный 6 2 2 4 2 4 2 3" xfId="3321"/>
    <cellStyle name="Обычный 6 2 2 4 2 4 2 3 2" xfId="8439"/>
    <cellStyle name="Обычный 6 2 2 4 2 4 2 3 2 2" xfId="11573"/>
    <cellStyle name="Обычный 6 2 2 4 2 4 2 3 3" xfId="11574"/>
    <cellStyle name="Обычный 6 2 2 4 2 4 2 4" xfId="6383"/>
    <cellStyle name="Обычный 6 2 2 4 2 4 2 4 2" xfId="11575"/>
    <cellStyle name="Обычный 6 2 2 4 2 4 2 5" xfId="11576"/>
    <cellStyle name="Обычный 6 2 2 4 2 4 3" xfId="865"/>
    <cellStyle name="Обычный 6 2 2 4 2 4 3 2" xfId="1984"/>
    <cellStyle name="Обычный 6 2 2 4 2 4 3 2 2" xfId="4522"/>
    <cellStyle name="Обычный 6 2 2 4 2 4 3 2 2 2" xfId="9640"/>
    <cellStyle name="Обычный 6 2 2 4 2 4 3 2 2 2 2" xfId="11577"/>
    <cellStyle name="Обычный 6 2 2 4 2 4 3 2 2 3" xfId="11578"/>
    <cellStyle name="Обычный 6 2 2 4 2 4 3 2 3" xfId="7584"/>
    <cellStyle name="Обычный 6 2 2 4 2 4 3 2 3 2" xfId="11579"/>
    <cellStyle name="Обычный 6 2 2 4 2 4 3 2 4" xfId="11580"/>
    <cellStyle name="Обычный 6 2 2 4 2 4 3 3" xfId="3494"/>
    <cellStyle name="Обычный 6 2 2 4 2 4 3 3 2" xfId="8612"/>
    <cellStyle name="Обычный 6 2 2 4 2 4 3 3 2 2" xfId="11581"/>
    <cellStyle name="Обычный 6 2 2 4 2 4 3 3 3" xfId="11582"/>
    <cellStyle name="Обычный 6 2 2 4 2 4 3 4" xfId="6556"/>
    <cellStyle name="Обычный 6 2 2 4 2 4 3 4 2" xfId="11583"/>
    <cellStyle name="Обычный 6 2 2 4 2 4 3 5" xfId="11584"/>
    <cellStyle name="Обычный 6 2 2 4 2 4 4" xfId="1036"/>
    <cellStyle name="Обычный 6 2 2 4 2 4 4 2" xfId="2155"/>
    <cellStyle name="Обычный 6 2 2 4 2 4 4 2 2" xfId="4693"/>
    <cellStyle name="Обычный 6 2 2 4 2 4 4 2 2 2" xfId="9811"/>
    <cellStyle name="Обычный 6 2 2 4 2 4 4 2 2 2 2" xfId="11585"/>
    <cellStyle name="Обычный 6 2 2 4 2 4 4 2 2 3" xfId="11586"/>
    <cellStyle name="Обычный 6 2 2 4 2 4 4 2 3" xfId="7755"/>
    <cellStyle name="Обычный 6 2 2 4 2 4 4 2 3 2" xfId="11587"/>
    <cellStyle name="Обычный 6 2 2 4 2 4 4 2 4" xfId="11588"/>
    <cellStyle name="Обычный 6 2 2 4 2 4 4 3" xfId="3665"/>
    <cellStyle name="Обычный 6 2 2 4 2 4 4 3 2" xfId="8783"/>
    <cellStyle name="Обычный 6 2 2 4 2 4 4 3 2 2" xfId="11589"/>
    <cellStyle name="Обычный 6 2 2 4 2 4 4 3 3" xfId="11590"/>
    <cellStyle name="Обычный 6 2 2 4 2 4 4 4" xfId="6727"/>
    <cellStyle name="Обычный 6 2 2 4 2 4 4 4 2" xfId="11591"/>
    <cellStyle name="Обычный 6 2 2 4 2 4 4 5" xfId="11592"/>
    <cellStyle name="Обычный 6 2 2 4 2 4 5" xfId="1217"/>
    <cellStyle name="Обычный 6 2 2 4 2 4 5 2" xfId="2326"/>
    <cellStyle name="Обычный 6 2 2 4 2 4 5 2 2" xfId="4864"/>
    <cellStyle name="Обычный 6 2 2 4 2 4 5 2 2 2" xfId="9982"/>
    <cellStyle name="Обычный 6 2 2 4 2 4 5 2 2 2 2" xfId="11593"/>
    <cellStyle name="Обычный 6 2 2 4 2 4 5 2 2 3" xfId="11594"/>
    <cellStyle name="Обычный 6 2 2 4 2 4 5 2 3" xfId="7926"/>
    <cellStyle name="Обычный 6 2 2 4 2 4 5 2 3 2" xfId="11595"/>
    <cellStyle name="Обычный 6 2 2 4 2 4 5 2 4" xfId="11596"/>
    <cellStyle name="Обычный 6 2 2 4 2 4 5 3" xfId="3836"/>
    <cellStyle name="Обычный 6 2 2 4 2 4 5 3 2" xfId="8954"/>
    <cellStyle name="Обычный 6 2 2 4 2 4 5 3 2 2" xfId="11597"/>
    <cellStyle name="Обычный 6 2 2 4 2 4 5 3 3" xfId="11598"/>
    <cellStyle name="Обычный 6 2 2 4 2 4 5 4" xfId="6898"/>
    <cellStyle name="Обычный 6 2 2 4 2 4 5 4 2" xfId="11599"/>
    <cellStyle name="Обычный 6 2 2 4 2 4 5 5" xfId="11600"/>
    <cellStyle name="Обычный 6 2 2 4 2 4 6" xfId="1391"/>
    <cellStyle name="Обычный 6 2 2 4 2 4 6 2" xfId="2497"/>
    <cellStyle name="Обычный 6 2 2 4 2 4 6 2 2" xfId="5035"/>
    <cellStyle name="Обычный 6 2 2 4 2 4 6 2 2 2" xfId="10153"/>
    <cellStyle name="Обычный 6 2 2 4 2 4 6 2 2 2 2" xfId="11601"/>
    <cellStyle name="Обычный 6 2 2 4 2 4 6 2 2 3" xfId="11602"/>
    <cellStyle name="Обычный 6 2 2 4 2 4 6 2 3" xfId="8097"/>
    <cellStyle name="Обычный 6 2 2 4 2 4 6 2 3 2" xfId="11603"/>
    <cellStyle name="Обычный 6 2 2 4 2 4 6 2 4" xfId="11604"/>
    <cellStyle name="Обычный 6 2 2 4 2 4 6 3" xfId="4007"/>
    <cellStyle name="Обычный 6 2 2 4 2 4 6 3 2" xfId="9125"/>
    <cellStyle name="Обычный 6 2 2 4 2 4 6 3 2 2" xfId="11605"/>
    <cellStyle name="Обычный 6 2 2 4 2 4 6 3 3" xfId="11606"/>
    <cellStyle name="Обычный 6 2 2 4 2 4 6 4" xfId="7069"/>
    <cellStyle name="Обычный 6 2 2 4 2 4 6 4 2" xfId="11607"/>
    <cellStyle name="Обычный 6 2 2 4 2 4 6 5" xfId="11608"/>
    <cellStyle name="Обычный 6 2 2 4 2 4 7" xfId="1562"/>
    <cellStyle name="Обычный 6 2 2 4 2 4 7 2" xfId="2668"/>
    <cellStyle name="Обычный 6 2 2 4 2 4 7 2 2" xfId="5206"/>
    <cellStyle name="Обычный 6 2 2 4 2 4 7 2 2 2" xfId="10324"/>
    <cellStyle name="Обычный 6 2 2 4 2 4 7 2 2 2 2" xfId="11609"/>
    <cellStyle name="Обычный 6 2 2 4 2 4 7 2 2 3" xfId="11610"/>
    <cellStyle name="Обычный 6 2 2 4 2 4 7 2 3" xfId="8268"/>
    <cellStyle name="Обычный 6 2 2 4 2 4 7 2 3 2" xfId="11611"/>
    <cellStyle name="Обычный 6 2 2 4 2 4 7 2 4" xfId="11612"/>
    <cellStyle name="Обычный 6 2 2 4 2 4 7 3" xfId="4178"/>
    <cellStyle name="Обычный 6 2 2 4 2 4 7 3 2" xfId="9296"/>
    <cellStyle name="Обычный 6 2 2 4 2 4 7 3 2 2" xfId="11613"/>
    <cellStyle name="Обычный 6 2 2 4 2 4 7 3 3" xfId="11614"/>
    <cellStyle name="Обычный 6 2 2 4 2 4 7 4" xfId="7240"/>
    <cellStyle name="Обычный 6 2 2 4 2 4 7 4 2" xfId="11615"/>
    <cellStyle name="Обычный 6 2 2 4 2 4 7 5" xfId="11616"/>
    <cellStyle name="Обычный 6 2 2 4 2 4 8" xfId="2980"/>
    <cellStyle name="Обычный 6 2 2 4 3" xfId="216"/>
    <cellStyle name="Обычный 6 2 2 4 3 2" xfId="217"/>
    <cellStyle name="Обычный 6 2 2 4 3 2 2" xfId="679"/>
    <cellStyle name="Обычный 6 2 2 4 3 2 2 2" xfId="1807"/>
    <cellStyle name="Обычный 6 2 2 4 3 2 2 2 2" xfId="4350"/>
    <cellStyle name="Обычный 6 2 2 4 3 2 2 2 2 2" xfId="9468"/>
    <cellStyle name="Обычный 6 2 2 4 3 2 2 2 2 2 2" xfId="11617"/>
    <cellStyle name="Обычный 6 2 2 4 3 2 2 2 2 3" xfId="11618"/>
    <cellStyle name="Обычный 6 2 2 4 3 2 2 2 3" xfId="7412"/>
    <cellStyle name="Обычный 6 2 2 4 3 2 2 2 3 2" xfId="11619"/>
    <cellStyle name="Обычный 6 2 2 4 3 2 2 2 4" xfId="11620"/>
    <cellStyle name="Обычный 6 2 2 4 3 2 2 3" xfId="3322"/>
    <cellStyle name="Обычный 6 2 2 4 3 2 2 3 2" xfId="8440"/>
    <cellStyle name="Обычный 6 2 2 4 3 2 2 3 2 2" xfId="11621"/>
    <cellStyle name="Обычный 6 2 2 4 3 2 2 3 3" xfId="11622"/>
    <cellStyle name="Обычный 6 2 2 4 3 2 2 4" xfId="6384"/>
    <cellStyle name="Обычный 6 2 2 4 3 2 2 4 2" xfId="11623"/>
    <cellStyle name="Обычный 6 2 2 4 3 2 2 5" xfId="11624"/>
    <cellStyle name="Обычный 6 2 2 4 3 2 3" xfId="866"/>
    <cellStyle name="Обычный 6 2 2 4 3 2 3 2" xfId="1985"/>
    <cellStyle name="Обычный 6 2 2 4 3 2 3 2 2" xfId="4523"/>
    <cellStyle name="Обычный 6 2 2 4 3 2 3 2 2 2" xfId="9641"/>
    <cellStyle name="Обычный 6 2 2 4 3 2 3 2 2 2 2" xfId="11625"/>
    <cellStyle name="Обычный 6 2 2 4 3 2 3 2 2 3" xfId="11626"/>
    <cellStyle name="Обычный 6 2 2 4 3 2 3 2 3" xfId="7585"/>
    <cellStyle name="Обычный 6 2 2 4 3 2 3 2 3 2" xfId="11627"/>
    <cellStyle name="Обычный 6 2 2 4 3 2 3 2 4" xfId="11628"/>
    <cellStyle name="Обычный 6 2 2 4 3 2 3 3" xfId="3495"/>
    <cellStyle name="Обычный 6 2 2 4 3 2 3 3 2" xfId="8613"/>
    <cellStyle name="Обычный 6 2 2 4 3 2 3 3 2 2" xfId="11629"/>
    <cellStyle name="Обычный 6 2 2 4 3 2 3 3 3" xfId="11630"/>
    <cellStyle name="Обычный 6 2 2 4 3 2 3 4" xfId="6557"/>
    <cellStyle name="Обычный 6 2 2 4 3 2 3 4 2" xfId="11631"/>
    <cellStyle name="Обычный 6 2 2 4 3 2 3 5" xfId="11632"/>
    <cellStyle name="Обычный 6 2 2 4 3 2 4" xfId="1037"/>
    <cellStyle name="Обычный 6 2 2 4 3 2 4 2" xfId="2156"/>
    <cellStyle name="Обычный 6 2 2 4 3 2 4 2 2" xfId="4694"/>
    <cellStyle name="Обычный 6 2 2 4 3 2 4 2 2 2" xfId="9812"/>
    <cellStyle name="Обычный 6 2 2 4 3 2 4 2 2 2 2" xfId="11633"/>
    <cellStyle name="Обычный 6 2 2 4 3 2 4 2 2 3" xfId="11634"/>
    <cellStyle name="Обычный 6 2 2 4 3 2 4 2 3" xfId="7756"/>
    <cellStyle name="Обычный 6 2 2 4 3 2 4 2 3 2" xfId="11635"/>
    <cellStyle name="Обычный 6 2 2 4 3 2 4 2 4" xfId="11636"/>
    <cellStyle name="Обычный 6 2 2 4 3 2 4 3" xfId="3666"/>
    <cellStyle name="Обычный 6 2 2 4 3 2 4 3 2" xfId="8784"/>
    <cellStyle name="Обычный 6 2 2 4 3 2 4 3 2 2" xfId="11637"/>
    <cellStyle name="Обычный 6 2 2 4 3 2 4 3 3" xfId="11638"/>
    <cellStyle name="Обычный 6 2 2 4 3 2 4 4" xfId="6728"/>
    <cellStyle name="Обычный 6 2 2 4 3 2 4 4 2" xfId="11639"/>
    <cellStyle name="Обычный 6 2 2 4 3 2 4 5" xfId="11640"/>
    <cellStyle name="Обычный 6 2 2 4 3 2 5" xfId="1218"/>
    <cellStyle name="Обычный 6 2 2 4 3 2 5 2" xfId="2327"/>
    <cellStyle name="Обычный 6 2 2 4 3 2 5 2 2" xfId="4865"/>
    <cellStyle name="Обычный 6 2 2 4 3 2 5 2 2 2" xfId="9983"/>
    <cellStyle name="Обычный 6 2 2 4 3 2 5 2 2 2 2" xfId="11641"/>
    <cellStyle name="Обычный 6 2 2 4 3 2 5 2 2 3" xfId="11642"/>
    <cellStyle name="Обычный 6 2 2 4 3 2 5 2 3" xfId="7927"/>
    <cellStyle name="Обычный 6 2 2 4 3 2 5 2 3 2" xfId="11643"/>
    <cellStyle name="Обычный 6 2 2 4 3 2 5 2 4" xfId="11644"/>
    <cellStyle name="Обычный 6 2 2 4 3 2 5 3" xfId="3837"/>
    <cellStyle name="Обычный 6 2 2 4 3 2 5 3 2" xfId="8955"/>
    <cellStyle name="Обычный 6 2 2 4 3 2 5 3 2 2" xfId="11645"/>
    <cellStyle name="Обычный 6 2 2 4 3 2 5 3 3" xfId="11646"/>
    <cellStyle name="Обычный 6 2 2 4 3 2 5 4" xfId="6899"/>
    <cellStyle name="Обычный 6 2 2 4 3 2 5 4 2" xfId="11647"/>
    <cellStyle name="Обычный 6 2 2 4 3 2 5 5" xfId="11648"/>
    <cellStyle name="Обычный 6 2 2 4 3 2 6" xfId="1392"/>
    <cellStyle name="Обычный 6 2 2 4 3 2 6 2" xfId="2498"/>
    <cellStyle name="Обычный 6 2 2 4 3 2 6 2 2" xfId="5036"/>
    <cellStyle name="Обычный 6 2 2 4 3 2 6 2 2 2" xfId="10154"/>
    <cellStyle name="Обычный 6 2 2 4 3 2 6 2 2 2 2" xfId="11649"/>
    <cellStyle name="Обычный 6 2 2 4 3 2 6 2 2 3" xfId="11650"/>
    <cellStyle name="Обычный 6 2 2 4 3 2 6 2 3" xfId="8098"/>
    <cellStyle name="Обычный 6 2 2 4 3 2 6 2 3 2" xfId="11651"/>
    <cellStyle name="Обычный 6 2 2 4 3 2 6 2 4" xfId="11652"/>
    <cellStyle name="Обычный 6 2 2 4 3 2 6 3" xfId="4008"/>
    <cellStyle name="Обычный 6 2 2 4 3 2 6 3 2" xfId="9126"/>
    <cellStyle name="Обычный 6 2 2 4 3 2 6 3 2 2" xfId="11653"/>
    <cellStyle name="Обычный 6 2 2 4 3 2 6 3 3" xfId="11654"/>
    <cellStyle name="Обычный 6 2 2 4 3 2 6 4" xfId="7070"/>
    <cellStyle name="Обычный 6 2 2 4 3 2 6 4 2" xfId="11655"/>
    <cellStyle name="Обычный 6 2 2 4 3 2 6 5" xfId="11656"/>
    <cellStyle name="Обычный 6 2 2 4 3 2 7" xfId="1563"/>
    <cellStyle name="Обычный 6 2 2 4 3 2 7 2" xfId="2669"/>
    <cellStyle name="Обычный 6 2 2 4 3 2 7 2 2" xfId="5207"/>
    <cellStyle name="Обычный 6 2 2 4 3 2 7 2 2 2" xfId="10325"/>
    <cellStyle name="Обычный 6 2 2 4 3 2 7 2 2 2 2" xfId="11657"/>
    <cellStyle name="Обычный 6 2 2 4 3 2 7 2 2 3" xfId="11658"/>
    <cellStyle name="Обычный 6 2 2 4 3 2 7 2 3" xfId="8269"/>
    <cellStyle name="Обычный 6 2 2 4 3 2 7 2 3 2" xfId="11659"/>
    <cellStyle name="Обычный 6 2 2 4 3 2 7 2 4" xfId="11660"/>
    <cellStyle name="Обычный 6 2 2 4 3 2 7 3" xfId="4179"/>
    <cellStyle name="Обычный 6 2 2 4 3 2 7 3 2" xfId="9297"/>
    <cellStyle name="Обычный 6 2 2 4 3 2 7 3 2 2" xfId="11661"/>
    <cellStyle name="Обычный 6 2 2 4 3 2 7 3 3" xfId="11662"/>
    <cellStyle name="Обычный 6 2 2 4 3 2 7 4" xfId="7241"/>
    <cellStyle name="Обычный 6 2 2 4 3 2 7 4 2" xfId="11663"/>
    <cellStyle name="Обычный 6 2 2 4 3 2 7 5" xfId="11664"/>
    <cellStyle name="Обычный 6 2 2 4 3 2 8" xfId="2981"/>
    <cellStyle name="Обычный 6 2 2 4 4" xfId="218"/>
    <cellStyle name="Обычный 6 2 2 4 4 2" xfId="219"/>
    <cellStyle name="Обычный 6 2 2 4 4 2 2" xfId="680"/>
    <cellStyle name="Обычный 6 2 2 4 4 2 2 2" xfId="1808"/>
    <cellStyle name="Обычный 6 2 2 4 4 2 2 2 2" xfId="4351"/>
    <cellStyle name="Обычный 6 2 2 4 4 2 2 2 2 2" xfId="9469"/>
    <cellStyle name="Обычный 6 2 2 4 4 2 2 2 2 2 2" xfId="11665"/>
    <cellStyle name="Обычный 6 2 2 4 4 2 2 2 2 3" xfId="11666"/>
    <cellStyle name="Обычный 6 2 2 4 4 2 2 2 3" xfId="7413"/>
    <cellStyle name="Обычный 6 2 2 4 4 2 2 2 3 2" xfId="11667"/>
    <cellStyle name="Обычный 6 2 2 4 4 2 2 2 4" xfId="11668"/>
    <cellStyle name="Обычный 6 2 2 4 4 2 2 3" xfId="3323"/>
    <cellStyle name="Обычный 6 2 2 4 4 2 2 3 2" xfId="8441"/>
    <cellStyle name="Обычный 6 2 2 4 4 2 2 3 2 2" xfId="11669"/>
    <cellStyle name="Обычный 6 2 2 4 4 2 2 3 3" xfId="11670"/>
    <cellStyle name="Обычный 6 2 2 4 4 2 2 4" xfId="6385"/>
    <cellStyle name="Обычный 6 2 2 4 4 2 2 4 2" xfId="11671"/>
    <cellStyle name="Обычный 6 2 2 4 4 2 2 5" xfId="11672"/>
    <cellStyle name="Обычный 6 2 2 4 4 2 3" xfId="867"/>
    <cellStyle name="Обычный 6 2 2 4 4 2 3 2" xfId="1986"/>
    <cellStyle name="Обычный 6 2 2 4 4 2 3 2 2" xfId="4524"/>
    <cellStyle name="Обычный 6 2 2 4 4 2 3 2 2 2" xfId="9642"/>
    <cellStyle name="Обычный 6 2 2 4 4 2 3 2 2 2 2" xfId="11673"/>
    <cellStyle name="Обычный 6 2 2 4 4 2 3 2 2 3" xfId="11674"/>
    <cellStyle name="Обычный 6 2 2 4 4 2 3 2 3" xfId="7586"/>
    <cellStyle name="Обычный 6 2 2 4 4 2 3 2 3 2" xfId="11675"/>
    <cellStyle name="Обычный 6 2 2 4 4 2 3 2 4" xfId="11676"/>
    <cellStyle name="Обычный 6 2 2 4 4 2 3 3" xfId="3496"/>
    <cellStyle name="Обычный 6 2 2 4 4 2 3 3 2" xfId="8614"/>
    <cellStyle name="Обычный 6 2 2 4 4 2 3 3 2 2" xfId="11677"/>
    <cellStyle name="Обычный 6 2 2 4 4 2 3 3 3" xfId="11678"/>
    <cellStyle name="Обычный 6 2 2 4 4 2 3 4" xfId="6558"/>
    <cellStyle name="Обычный 6 2 2 4 4 2 3 4 2" xfId="11679"/>
    <cellStyle name="Обычный 6 2 2 4 4 2 3 5" xfId="11680"/>
    <cellStyle name="Обычный 6 2 2 4 4 2 4" xfId="1038"/>
    <cellStyle name="Обычный 6 2 2 4 4 2 4 2" xfId="2157"/>
    <cellStyle name="Обычный 6 2 2 4 4 2 4 2 2" xfId="4695"/>
    <cellStyle name="Обычный 6 2 2 4 4 2 4 2 2 2" xfId="9813"/>
    <cellStyle name="Обычный 6 2 2 4 4 2 4 2 2 2 2" xfId="11681"/>
    <cellStyle name="Обычный 6 2 2 4 4 2 4 2 2 3" xfId="11682"/>
    <cellStyle name="Обычный 6 2 2 4 4 2 4 2 3" xfId="7757"/>
    <cellStyle name="Обычный 6 2 2 4 4 2 4 2 3 2" xfId="11683"/>
    <cellStyle name="Обычный 6 2 2 4 4 2 4 2 4" xfId="11684"/>
    <cellStyle name="Обычный 6 2 2 4 4 2 4 3" xfId="3667"/>
    <cellStyle name="Обычный 6 2 2 4 4 2 4 3 2" xfId="8785"/>
    <cellStyle name="Обычный 6 2 2 4 4 2 4 3 2 2" xfId="11685"/>
    <cellStyle name="Обычный 6 2 2 4 4 2 4 3 3" xfId="11686"/>
    <cellStyle name="Обычный 6 2 2 4 4 2 4 4" xfId="6729"/>
    <cellStyle name="Обычный 6 2 2 4 4 2 4 4 2" xfId="11687"/>
    <cellStyle name="Обычный 6 2 2 4 4 2 4 5" xfId="11688"/>
    <cellStyle name="Обычный 6 2 2 4 4 2 5" xfId="1219"/>
    <cellStyle name="Обычный 6 2 2 4 4 2 5 2" xfId="2328"/>
    <cellStyle name="Обычный 6 2 2 4 4 2 5 2 2" xfId="4866"/>
    <cellStyle name="Обычный 6 2 2 4 4 2 5 2 2 2" xfId="9984"/>
    <cellStyle name="Обычный 6 2 2 4 4 2 5 2 2 2 2" xfId="11689"/>
    <cellStyle name="Обычный 6 2 2 4 4 2 5 2 2 3" xfId="11690"/>
    <cellStyle name="Обычный 6 2 2 4 4 2 5 2 3" xfId="7928"/>
    <cellStyle name="Обычный 6 2 2 4 4 2 5 2 3 2" xfId="11691"/>
    <cellStyle name="Обычный 6 2 2 4 4 2 5 2 4" xfId="11692"/>
    <cellStyle name="Обычный 6 2 2 4 4 2 5 3" xfId="3838"/>
    <cellStyle name="Обычный 6 2 2 4 4 2 5 3 2" xfId="8956"/>
    <cellStyle name="Обычный 6 2 2 4 4 2 5 3 2 2" xfId="11693"/>
    <cellStyle name="Обычный 6 2 2 4 4 2 5 3 3" xfId="11694"/>
    <cellStyle name="Обычный 6 2 2 4 4 2 5 4" xfId="6900"/>
    <cellStyle name="Обычный 6 2 2 4 4 2 5 4 2" xfId="11695"/>
    <cellStyle name="Обычный 6 2 2 4 4 2 5 5" xfId="11696"/>
    <cellStyle name="Обычный 6 2 2 4 4 2 6" xfId="1393"/>
    <cellStyle name="Обычный 6 2 2 4 4 2 6 2" xfId="2499"/>
    <cellStyle name="Обычный 6 2 2 4 4 2 6 2 2" xfId="5037"/>
    <cellStyle name="Обычный 6 2 2 4 4 2 6 2 2 2" xfId="10155"/>
    <cellStyle name="Обычный 6 2 2 4 4 2 6 2 2 2 2" xfId="11697"/>
    <cellStyle name="Обычный 6 2 2 4 4 2 6 2 2 3" xfId="11698"/>
    <cellStyle name="Обычный 6 2 2 4 4 2 6 2 3" xfId="8099"/>
    <cellStyle name="Обычный 6 2 2 4 4 2 6 2 3 2" xfId="11699"/>
    <cellStyle name="Обычный 6 2 2 4 4 2 6 2 4" xfId="11700"/>
    <cellStyle name="Обычный 6 2 2 4 4 2 6 3" xfId="4009"/>
    <cellStyle name="Обычный 6 2 2 4 4 2 6 3 2" xfId="9127"/>
    <cellStyle name="Обычный 6 2 2 4 4 2 6 3 2 2" xfId="11701"/>
    <cellStyle name="Обычный 6 2 2 4 4 2 6 3 3" xfId="11702"/>
    <cellStyle name="Обычный 6 2 2 4 4 2 6 4" xfId="7071"/>
    <cellStyle name="Обычный 6 2 2 4 4 2 6 4 2" xfId="11703"/>
    <cellStyle name="Обычный 6 2 2 4 4 2 6 5" xfId="11704"/>
    <cellStyle name="Обычный 6 2 2 4 4 2 7" xfId="1564"/>
    <cellStyle name="Обычный 6 2 2 4 4 2 7 2" xfId="2670"/>
    <cellStyle name="Обычный 6 2 2 4 4 2 7 2 2" xfId="5208"/>
    <cellStyle name="Обычный 6 2 2 4 4 2 7 2 2 2" xfId="10326"/>
    <cellStyle name="Обычный 6 2 2 4 4 2 7 2 2 2 2" xfId="11705"/>
    <cellStyle name="Обычный 6 2 2 4 4 2 7 2 2 3" xfId="11706"/>
    <cellStyle name="Обычный 6 2 2 4 4 2 7 2 3" xfId="8270"/>
    <cellStyle name="Обычный 6 2 2 4 4 2 7 2 3 2" xfId="11707"/>
    <cellStyle name="Обычный 6 2 2 4 4 2 7 2 4" xfId="11708"/>
    <cellStyle name="Обычный 6 2 2 4 4 2 7 3" xfId="4180"/>
    <cellStyle name="Обычный 6 2 2 4 4 2 7 3 2" xfId="9298"/>
    <cellStyle name="Обычный 6 2 2 4 4 2 7 3 2 2" xfId="11709"/>
    <cellStyle name="Обычный 6 2 2 4 4 2 7 3 3" xfId="11710"/>
    <cellStyle name="Обычный 6 2 2 4 4 2 7 4" xfId="7242"/>
    <cellStyle name="Обычный 6 2 2 4 4 2 7 4 2" xfId="11711"/>
    <cellStyle name="Обычный 6 2 2 4 4 2 7 5" xfId="11712"/>
    <cellStyle name="Обычный 6 2 2 4 4 2 8" xfId="2982"/>
    <cellStyle name="Обычный 6 2 2 4 5" xfId="220"/>
    <cellStyle name="Обычный 6 2 2 4 5 2" xfId="681"/>
    <cellStyle name="Обычный 6 2 2 4 5 2 2" xfId="1809"/>
    <cellStyle name="Обычный 6 2 2 4 5 2 2 2" xfId="4352"/>
    <cellStyle name="Обычный 6 2 2 4 5 2 2 2 2" xfId="9470"/>
    <cellStyle name="Обычный 6 2 2 4 5 2 2 2 2 2" xfId="11713"/>
    <cellStyle name="Обычный 6 2 2 4 5 2 2 2 3" xfId="11714"/>
    <cellStyle name="Обычный 6 2 2 4 5 2 2 3" xfId="7414"/>
    <cellStyle name="Обычный 6 2 2 4 5 2 2 3 2" xfId="11715"/>
    <cellStyle name="Обычный 6 2 2 4 5 2 2 4" xfId="11716"/>
    <cellStyle name="Обычный 6 2 2 4 5 2 3" xfId="3324"/>
    <cellStyle name="Обычный 6 2 2 4 5 2 3 2" xfId="8442"/>
    <cellStyle name="Обычный 6 2 2 4 5 2 3 2 2" xfId="11717"/>
    <cellStyle name="Обычный 6 2 2 4 5 2 3 3" xfId="11718"/>
    <cellStyle name="Обычный 6 2 2 4 5 2 4" xfId="6386"/>
    <cellStyle name="Обычный 6 2 2 4 5 2 4 2" xfId="11719"/>
    <cellStyle name="Обычный 6 2 2 4 5 2 5" xfId="11720"/>
    <cellStyle name="Обычный 6 2 2 4 5 3" xfId="868"/>
    <cellStyle name="Обычный 6 2 2 4 5 3 2" xfId="1987"/>
    <cellStyle name="Обычный 6 2 2 4 5 3 2 2" xfId="4525"/>
    <cellStyle name="Обычный 6 2 2 4 5 3 2 2 2" xfId="9643"/>
    <cellStyle name="Обычный 6 2 2 4 5 3 2 2 2 2" xfId="11721"/>
    <cellStyle name="Обычный 6 2 2 4 5 3 2 2 3" xfId="11722"/>
    <cellStyle name="Обычный 6 2 2 4 5 3 2 3" xfId="7587"/>
    <cellStyle name="Обычный 6 2 2 4 5 3 2 3 2" xfId="11723"/>
    <cellStyle name="Обычный 6 2 2 4 5 3 2 4" xfId="11724"/>
    <cellStyle name="Обычный 6 2 2 4 5 3 3" xfId="3497"/>
    <cellStyle name="Обычный 6 2 2 4 5 3 3 2" xfId="8615"/>
    <cellStyle name="Обычный 6 2 2 4 5 3 3 2 2" xfId="11725"/>
    <cellStyle name="Обычный 6 2 2 4 5 3 3 3" xfId="11726"/>
    <cellStyle name="Обычный 6 2 2 4 5 3 4" xfId="6559"/>
    <cellStyle name="Обычный 6 2 2 4 5 3 4 2" xfId="11727"/>
    <cellStyle name="Обычный 6 2 2 4 5 3 5" xfId="11728"/>
    <cellStyle name="Обычный 6 2 2 4 5 4" xfId="1039"/>
    <cellStyle name="Обычный 6 2 2 4 5 4 2" xfId="2158"/>
    <cellStyle name="Обычный 6 2 2 4 5 4 2 2" xfId="4696"/>
    <cellStyle name="Обычный 6 2 2 4 5 4 2 2 2" xfId="9814"/>
    <cellStyle name="Обычный 6 2 2 4 5 4 2 2 2 2" xfId="11729"/>
    <cellStyle name="Обычный 6 2 2 4 5 4 2 2 3" xfId="11730"/>
    <cellStyle name="Обычный 6 2 2 4 5 4 2 3" xfId="7758"/>
    <cellStyle name="Обычный 6 2 2 4 5 4 2 3 2" xfId="11731"/>
    <cellStyle name="Обычный 6 2 2 4 5 4 2 4" xfId="11732"/>
    <cellStyle name="Обычный 6 2 2 4 5 4 3" xfId="3668"/>
    <cellStyle name="Обычный 6 2 2 4 5 4 3 2" xfId="8786"/>
    <cellStyle name="Обычный 6 2 2 4 5 4 3 2 2" xfId="11733"/>
    <cellStyle name="Обычный 6 2 2 4 5 4 3 3" xfId="11734"/>
    <cellStyle name="Обычный 6 2 2 4 5 4 4" xfId="6730"/>
    <cellStyle name="Обычный 6 2 2 4 5 4 4 2" xfId="11735"/>
    <cellStyle name="Обычный 6 2 2 4 5 4 5" xfId="11736"/>
    <cellStyle name="Обычный 6 2 2 4 5 5" xfId="1220"/>
    <cellStyle name="Обычный 6 2 2 4 5 5 2" xfId="2329"/>
    <cellStyle name="Обычный 6 2 2 4 5 5 2 2" xfId="4867"/>
    <cellStyle name="Обычный 6 2 2 4 5 5 2 2 2" xfId="9985"/>
    <cellStyle name="Обычный 6 2 2 4 5 5 2 2 2 2" xfId="11737"/>
    <cellStyle name="Обычный 6 2 2 4 5 5 2 2 3" xfId="11738"/>
    <cellStyle name="Обычный 6 2 2 4 5 5 2 3" xfId="7929"/>
    <cellStyle name="Обычный 6 2 2 4 5 5 2 3 2" xfId="11739"/>
    <cellStyle name="Обычный 6 2 2 4 5 5 2 4" xfId="11740"/>
    <cellStyle name="Обычный 6 2 2 4 5 5 3" xfId="3839"/>
    <cellStyle name="Обычный 6 2 2 4 5 5 3 2" xfId="8957"/>
    <cellStyle name="Обычный 6 2 2 4 5 5 3 2 2" xfId="11741"/>
    <cellStyle name="Обычный 6 2 2 4 5 5 3 3" xfId="11742"/>
    <cellStyle name="Обычный 6 2 2 4 5 5 4" xfId="6901"/>
    <cellStyle name="Обычный 6 2 2 4 5 5 4 2" xfId="11743"/>
    <cellStyle name="Обычный 6 2 2 4 5 5 5" xfId="11744"/>
    <cellStyle name="Обычный 6 2 2 4 5 6" xfId="1394"/>
    <cellStyle name="Обычный 6 2 2 4 5 6 2" xfId="2500"/>
    <cellStyle name="Обычный 6 2 2 4 5 6 2 2" xfId="5038"/>
    <cellStyle name="Обычный 6 2 2 4 5 6 2 2 2" xfId="10156"/>
    <cellStyle name="Обычный 6 2 2 4 5 6 2 2 2 2" xfId="11745"/>
    <cellStyle name="Обычный 6 2 2 4 5 6 2 2 3" xfId="11746"/>
    <cellStyle name="Обычный 6 2 2 4 5 6 2 3" xfId="8100"/>
    <cellStyle name="Обычный 6 2 2 4 5 6 2 3 2" xfId="11747"/>
    <cellStyle name="Обычный 6 2 2 4 5 6 2 4" xfId="11748"/>
    <cellStyle name="Обычный 6 2 2 4 5 6 3" xfId="4010"/>
    <cellStyle name="Обычный 6 2 2 4 5 6 3 2" xfId="9128"/>
    <cellStyle name="Обычный 6 2 2 4 5 6 3 2 2" xfId="11749"/>
    <cellStyle name="Обычный 6 2 2 4 5 6 3 3" xfId="11750"/>
    <cellStyle name="Обычный 6 2 2 4 5 6 4" xfId="7072"/>
    <cellStyle name="Обычный 6 2 2 4 5 6 4 2" xfId="11751"/>
    <cellStyle name="Обычный 6 2 2 4 5 6 5" xfId="11752"/>
    <cellStyle name="Обычный 6 2 2 4 5 7" xfId="1565"/>
    <cellStyle name="Обычный 6 2 2 4 5 7 2" xfId="2671"/>
    <cellStyle name="Обычный 6 2 2 4 5 7 2 2" xfId="5209"/>
    <cellStyle name="Обычный 6 2 2 4 5 7 2 2 2" xfId="10327"/>
    <cellStyle name="Обычный 6 2 2 4 5 7 2 2 2 2" xfId="11753"/>
    <cellStyle name="Обычный 6 2 2 4 5 7 2 2 3" xfId="11754"/>
    <cellStyle name="Обычный 6 2 2 4 5 7 2 3" xfId="8271"/>
    <cellStyle name="Обычный 6 2 2 4 5 7 2 3 2" xfId="11755"/>
    <cellStyle name="Обычный 6 2 2 4 5 7 2 4" xfId="11756"/>
    <cellStyle name="Обычный 6 2 2 4 5 7 3" xfId="4181"/>
    <cellStyle name="Обычный 6 2 2 4 5 7 3 2" xfId="9299"/>
    <cellStyle name="Обычный 6 2 2 4 5 7 3 2 2" xfId="11757"/>
    <cellStyle name="Обычный 6 2 2 4 5 7 3 3" xfId="11758"/>
    <cellStyle name="Обычный 6 2 2 4 5 7 4" xfId="7243"/>
    <cellStyle name="Обычный 6 2 2 4 5 7 4 2" xfId="11759"/>
    <cellStyle name="Обычный 6 2 2 4 5 7 5" xfId="11760"/>
    <cellStyle name="Обычный 6 2 2 4 5 8" xfId="2983"/>
    <cellStyle name="Обычный 6 2 2 5" xfId="221"/>
    <cellStyle name="Обычный 6 2 2 5 2" xfId="222"/>
    <cellStyle name="Обычный 6 2 2 5 2 2" xfId="223"/>
    <cellStyle name="Обычный 6 2 2 5 2 2 2" xfId="682"/>
    <cellStyle name="Обычный 6 2 2 5 2 2 2 2" xfId="1810"/>
    <cellStyle name="Обычный 6 2 2 5 2 2 2 2 2" xfId="4353"/>
    <cellStyle name="Обычный 6 2 2 5 2 2 2 2 2 2" xfId="9471"/>
    <cellStyle name="Обычный 6 2 2 5 2 2 2 2 2 2 2" xfId="11761"/>
    <cellStyle name="Обычный 6 2 2 5 2 2 2 2 2 3" xfId="11762"/>
    <cellStyle name="Обычный 6 2 2 5 2 2 2 2 3" xfId="7415"/>
    <cellStyle name="Обычный 6 2 2 5 2 2 2 2 3 2" xfId="11763"/>
    <cellStyle name="Обычный 6 2 2 5 2 2 2 2 4" xfId="11764"/>
    <cellStyle name="Обычный 6 2 2 5 2 2 2 3" xfId="3325"/>
    <cellStyle name="Обычный 6 2 2 5 2 2 2 3 2" xfId="8443"/>
    <cellStyle name="Обычный 6 2 2 5 2 2 2 3 2 2" xfId="11765"/>
    <cellStyle name="Обычный 6 2 2 5 2 2 2 3 3" xfId="11766"/>
    <cellStyle name="Обычный 6 2 2 5 2 2 2 4" xfId="6387"/>
    <cellStyle name="Обычный 6 2 2 5 2 2 2 4 2" xfId="11767"/>
    <cellStyle name="Обычный 6 2 2 5 2 2 2 5" xfId="11768"/>
    <cellStyle name="Обычный 6 2 2 5 2 2 3" xfId="869"/>
    <cellStyle name="Обычный 6 2 2 5 2 2 3 2" xfId="1988"/>
    <cellStyle name="Обычный 6 2 2 5 2 2 3 2 2" xfId="4526"/>
    <cellStyle name="Обычный 6 2 2 5 2 2 3 2 2 2" xfId="9644"/>
    <cellStyle name="Обычный 6 2 2 5 2 2 3 2 2 2 2" xfId="11769"/>
    <cellStyle name="Обычный 6 2 2 5 2 2 3 2 2 3" xfId="11770"/>
    <cellStyle name="Обычный 6 2 2 5 2 2 3 2 3" xfId="7588"/>
    <cellStyle name="Обычный 6 2 2 5 2 2 3 2 3 2" xfId="11771"/>
    <cellStyle name="Обычный 6 2 2 5 2 2 3 2 4" xfId="11772"/>
    <cellStyle name="Обычный 6 2 2 5 2 2 3 3" xfId="3498"/>
    <cellStyle name="Обычный 6 2 2 5 2 2 3 3 2" xfId="8616"/>
    <cellStyle name="Обычный 6 2 2 5 2 2 3 3 2 2" xfId="11773"/>
    <cellStyle name="Обычный 6 2 2 5 2 2 3 3 3" xfId="11774"/>
    <cellStyle name="Обычный 6 2 2 5 2 2 3 4" xfId="6560"/>
    <cellStyle name="Обычный 6 2 2 5 2 2 3 4 2" xfId="11775"/>
    <cellStyle name="Обычный 6 2 2 5 2 2 3 5" xfId="11776"/>
    <cellStyle name="Обычный 6 2 2 5 2 2 4" xfId="1040"/>
    <cellStyle name="Обычный 6 2 2 5 2 2 4 2" xfId="2159"/>
    <cellStyle name="Обычный 6 2 2 5 2 2 4 2 2" xfId="4697"/>
    <cellStyle name="Обычный 6 2 2 5 2 2 4 2 2 2" xfId="9815"/>
    <cellStyle name="Обычный 6 2 2 5 2 2 4 2 2 2 2" xfId="11777"/>
    <cellStyle name="Обычный 6 2 2 5 2 2 4 2 2 3" xfId="11778"/>
    <cellStyle name="Обычный 6 2 2 5 2 2 4 2 3" xfId="7759"/>
    <cellStyle name="Обычный 6 2 2 5 2 2 4 2 3 2" xfId="11779"/>
    <cellStyle name="Обычный 6 2 2 5 2 2 4 2 4" xfId="11780"/>
    <cellStyle name="Обычный 6 2 2 5 2 2 4 3" xfId="3669"/>
    <cellStyle name="Обычный 6 2 2 5 2 2 4 3 2" xfId="8787"/>
    <cellStyle name="Обычный 6 2 2 5 2 2 4 3 2 2" xfId="11781"/>
    <cellStyle name="Обычный 6 2 2 5 2 2 4 3 3" xfId="11782"/>
    <cellStyle name="Обычный 6 2 2 5 2 2 4 4" xfId="6731"/>
    <cellStyle name="Обычный 6 2 2 5 2 2 4 4 2" xfId="11783"/>
    <cellStyle name="Обычный 6 2 2 5 2 2 4 5" xfId="11784"/>
    <cellStyle name="Обычный 6 2 2 5 2 2 5" xfId="1221"/>
    <cellStyle name="Обычный 6 2 2 5 2 2 5 2" xfId="2330"/>
    <cellStyle name="Обычный 6 2 2 5 2 2 5 2 2" xfId="4868"/>
    <cellStyle name="Обычный 6 2 2 5 2 2 5 2 2 2" xfId="9986"/>
    <cellStyle name="Обычный 6 2 2 5 2 2 5 2 2 2 2" xfId="11785"/>
    <cellStyle name="Обычный 6 2 2 5 2 2 5 2 2 3" xfId="11786"/>
    <cellStyle name="Обычный 6 2 2 5 2 2 5 2 3" xfId="7930"/>
    <cellStyle name="Обычный 6 2 2 5 2 2 5 2 3 2" xfId="11787"/>
    <cellStyle name="Обычный 6 2 2 5 2 2 5 2 4" xfId="11788"/>
    <cellStyle name="Обычный 6 2 2 5 2 2 5 3" xfId="3840"/>
    <cellStyle name="Обычный 6 2 2 5 2 2 5 3 2" xfId="8958"/>
    <cellStyle name="Обычный 6 2 2 5 2 2 5 3 2 2" xfId="11789"/>
    <cellStyle name="Обычный 6 2 2 5 2 2 5 3 3" xfId="11790"/>
    <cellStyle name="Обычный 6 2 2 5 2 2 5 4" xfId="6902"/>
    <cellStyle name="Обычный 6 2 2 5 2 2 5 4 2" xfId="11791"/>
    <cellStyle name="Обычный 6 2 2 5 2 2 5 5" xfId="11792"/>
    <cellStyle name="Обычный 6 2 2 5 2 2 6" xfId="1395"/>
    <cellStyle name="Обычный 6 2 2 5 2 2 6 2" xfId="2501"/>
    <cellStyle name="Обычный 6 2 2 5 2 2 6 2 2" xfId="5039"/>
    <cellStyle name="Обычный 6 2 2 5 2 2 6 2 2 2" xfId="10157"/>
    <cellStyle name="Обычный 6 2 2 5 2 2 6 2 2 2 2" xfId="11793"/>
    <cellStyle name="Обычный 6 2 2 5 2 2 6 2 2 3" xfId="11794"/>
    <cellStyle name="Обычный 6 2 2 5 2 2 6 2 3" xfId="8101"/>
    <cellStyle name="Обычный 6 2 2 5 2 2 6 2 3 2" xfId="11795"/>
    <cellStyle name="Обычный 6 2 2 5 2 2 6 2 4" xfId="11796"/>
    <cellStyle name="Обычный 6 2 2 5 2 2 6 3" xfId="4011"/>
    <cellStyle name="Обычный 6 2 2 5 2 2 6 3 2" xfId="9129"/>
    <cellStyle name="Обычный 6 2 2 5 2 2 6 3 2 2" xfId="11797"/>
    <cellStyle name="Обычный 6 2 2 5 2 2 6 3 3" xfId="11798"/>
    <cellStyle name="Обычный 6 2 2 5 2 2 6 4" xfId="7073"/>
    <cellStyle name="Обычный 6 2 2 5 2 2 6 4 2" xfId="11799"/>
    <cellStyle name="Обычный 6 2 2 5 2 2 6 5" xfId="11800"/>
    <cellStyle name="Обычный 6 2 2 5 2 2 7" xfId="1566"/>
    <cellStyle name="Обычный 6 2 2 5 2 2 7 2" xfId="2672"/>
    <cellStyle name="Обычный 6 2 2 5 2 2 7 2 2" xfId="5210"/>
    <cellStyle name="Обычный 6 2 2 5 2 2 7 2 2 2" xfId="10328"/>
    <cellStyle name="Обычный 6 2 2 5 2 2 7 2 2 2 2" xfId="11801"/>
    <cellStyle name="Обычный 6 2 2 5 2 2 7 2 2 3" xfId="11802"/>
    <cellStyle name="Обычный 6 2 2 5 2 2 7 2 3" xfId="8272"/>
    <cellStyle name="Обычный 6 2 2 5 2 2 7 2 3 2" xfId="11803"/>
    <cellStyle name="Обычный 6 2 2 5 2 2 7 2 4" xfId="11804"/>
    <cellStyle name="Обычный 6 2 2 5 2 2 7 3" xfId="4182"/>
    <cellStyle name="Обычный 6 2 2 5 2 2 7 3 2" xfId="9300"/>
    <cellStyle name="Обычный 6 2 2 5 2 2 7 3 2 2" xfId="11805"/>
    <cellStyle name="Обычный 6 2 2 5 2 2 7 3 3" xfId="11806"/>
    <cellStyle name="Обычный 6 2 2 5 2 2 7 4" xfId="7244"/>
    <cellStyle name="Обычный 6 2 2 5 2 2 7 4 2" xfId="11807"/>
    <cellStyle name="Обычный 6 2 2 5 2 2 7 5" xfId="11808"/>
    <cellStyle name="Обычный 6 2 2 5 2 2 8" xfId="2984"/>
    <cellStyle name="Обычный 6 2 2 5 3" xfId="224"/>
    <cellStyle name="Обычный 6 2 2 5 3 2" xfId="225"/>
    <cellStyle name="Обычный 6 2 2 5 3 2 2" xfId="683"/>
    <cellStyle name="Обычный 6 2 2 5 3 2 2 2" xfId="1811"/>
    <cellStyle name="Обычный 6 2 2 5 3 2 2 2 2" xfId="4354"/>
    <cellStyle name="Обычный 6 2 2 5 3 2 2 2 2 2" xfId="9472"/>
    <cellStyle name="Обычный 6 2 2 5 3 2 2 2 2 2 2" xfId="11809"/>
    <cellStyle name="Обычный 6 2 2 5 3 2 2 2 2 3" xfId="11810"/>
    <cellStyle name="Обычный 6 2 2 5 3 2 2 2 3" xfId="7416"/>
    <cellStyle name="Обычный 6 2 2 5 3 2 2 2 3 2" xfId="11811"/>
    <cellStyle name="Обычный 6 2 2 5 3 2 2 2 4" xfId="11812"/>
    <cellStyle name="Обычный 6 2 2 5 3 2 2 3" xfId="3326"/>
    <cellStyle name="Обычный 6 2 2 5 3 2 2 3 2" xfId="8444"/>
    <cellStyle name="Обычный 6 2 2 5 3 2 2 3 2 2" xfId="11813"/>
    <cellStyle name="Обычный 6 2 2 5 3 2 2 3 3" xfId="11814"/>
    <cellStyle name="Обычный 6 2 2 5 3 2 2 4" xfId="6388"/>
    <cellStyle name="Обычный 6 2 2 5 3 2 2 4 2" xfId="11815"/>
    <cellStyle name="Обычный 6 2 2 5 3 2 2 5" xfId="11816"/>
    <cellStyle name="Обычный 6 2 2 5 3 2 3" xfId="870"/>
    <cellStyle name="Обычный 6 2 2 5 3 2 3 2" xfId="1989"/>
    <cellStyle name="Обычный 6 2 2 5 3 2 3 2 2" xfId="4527"/>
    <cellStyle name="Обычный 6 2 2 5 3 2 3 2 2 2" xfId="9645"/>
    <cellStyle name="Обычный 6 2 2 5 3 2 3 2 2 2 2" xfId="11817"/>
    <cellStyle name="Обычный 6 2 2 5 3 2 3 2 2 3" xfId="11818"/>
    <cellStyle name="Обычный 6 2 2 5 3 2 3 2 3" xfId="7589"/>
    <cellStyle name="Обычный 6 2 2 5 3 2 3 2 3 2" xfId="11819"/>
    <cellStyle name="Обычный 6 2 2 5 3 2 3 2 4" xfId="11820"/>
    <cellStyle name="Обычный 6 2 2 5 3 2 3 3" xfId="3499"/>
    <cellStyle name="Обычный 6 2 2 5 3 2 3 3 2" xfId="8617"/>
    <cellStyle name="Обычный 6 2 2 5 3 2 3 3 2 2" xfId="11821"/>
    <cellStyle name="Обычный 6 2 2 5 3 2 3 3 3" xfId="11822"/>
    <cellStyle name="Обычный 6 2 2 5 3 2 3 4" xfId="6561"/>
    <cellStyle name="Обычный 6 2 2 5 3 2 3 4 2" xfId="11823"/>
    <cellStyle name="Обычный 6 2 2 5 3 2 3 5" xfId="11824"/>
    <cellStyle name="Обычный 6 2 2 5 3 2 4" xfId="1041"/>
    <cellStyle name="Обычный 6 2 2 5 3 2 4 2" xfId="2160"/>
    <cellStyle name="Обычный 6 2 2 5 3 2 4 2 2" xfId="4698"/>
    <cellStyle name="Обычный 6 2 2 5 3 2 4 2 2 2" xfId="9816"/>
    <cellStyle name="Обычный 6 2 2 5 3 2 4 2 2 2 2" xfId="11825"/>
    <cellStyle name="Обычный 6 2 2 5 3 2 4 2 2 3" xfId="11826"/>
    <cellStyle name="Обычный 6 2 2 5 3 2 4 2 3" xfId="7760"/>
    <cellStyle name="Обычный 6 2 2 5 3 2 4 2 3 2" xfId="11827"/>
    <cellStyle name="Обычный 6 2 2 5 3 2 4 2 4" xfId="11828"/>
    <cellStyle name="Обычный 6 2 2 5 3 2 4 3" xfId="3670"/>
    <cellStyle name="Обычный 6 2 2 5 3 2 4 3 2" xfId="8788"/>
    <cellStyle name="Обычный 6 2 2 5 3 2 4 3 2 2" xfId="11829"/>
    <cellStyle name="Обычный 6 2 2 5 3 2 4 3 3" xfId="11830"/>
    <cellStyle name="Обычный 6 2 2 5 3 2 4 4" xfId="6732"/>
    <cellStyle name="Обычный 6 2 2 5 3 2 4 4 2" xfId="11831"/>
    <cellStyle name="Обычный 6 2 2 5 3 2 4 5" xfId="11832"/>
    <cellStyle name="Обычный 6 2 2 5 3 2 5" xfId="1222"/>
    <cellStyle name="Обычный 6 2 2 5 3 2 5 2" xfId="2331"/>
    <cellStyle name="Обычный 6 2 2 5 3 2 5 2 2" xfId="4869"/>
    <cellStyle name="Обычный 6 2 2 5 3 2 5 2 2 2" xfId="9987"/>
    <cellStyle name="Обычный 6 2 2 5 3 2 5 2 2 2 2" xfId="11833"/>
    <cellStyle name="Обычный 6 2 2 5 3 2 5 2 2 3" xfId="11834"/>
    <cellStyle name="Обычный 6 2 2 5 3 2 5 2 3" xfId="7931"/>
    <cellStyle name="Обычный 6 2 2 5 3 2 5 2 3 2" xfId="11835"/>
    <cellStyle name="Обычный 6 2 2 5 3 2 5 2 4" xfId="11836"/>
    <cellStyle name="Обычный 6 2 2 5 3 2 5 3" xfId="3841"/>
    <cellStyle name="Обычный 6 2 2 5 3 2 5 3 2" xfId="8959"/>
    <cellStyle name="Обычный 6 2 2 5 3 2 5 3 2 2" xfId="11837"/>
    <cellStyle name="Обычный 6 2 2 5 3 2 5 3 3" xfId="11838"/>
    <cellStyle name="Обычный 6 2 2 5 3 2 5 4" xfId="6903"/>
    <cellStyle name="Обычный 6 2 2 5 3 2 5 4 2" xfId="11839"/>
    <cellStyle name="Обычный 6 2 2 5 3 2 5 5" xfId="11840"/>
    <cellStyle name="Обычный 6 2 2 5 3 2 6" xfId="1396"/>
    <cellStyle name="Обычный 6 2 2 5 3 2 6 2" xfId="2502"/>
    <cellStyle name="Обычный 6 2 2 5 3 2 6 2 2" xfId="5040"/>
    <cellStyle name="Обычный 6 2 2 5 3 2 6 2 2 2" xfId="10158"/>
    <cellStyle name="Обычный 6 2 2 5 3 2 6 2 2 2 2" xfId="11841"/>
    <cellStyle name="Обычный 6 2 2 5 3 2 6 2 2 3" xfId="11842"/>
    <cellStyle name="Обычный 6 2 2 5 3 2 6 2 3" xfId="8102"/>
    <cellStyle name="Обычный 6 2 2 5 3 2 6 2 3 2" xfId="11843"/>
    <cellStyle name="Обычный 6 2 2 5 3 2 6 2 4" xfId="11844"/>
    <cellStyle name="Обычный 6 2 2 5 3 2 6 3" xfId="4012"/>
    <cellStyle name="Обычный 6 2 2 5 3 2 6 3 2" xfId="9130"/>
    <cellStyle name="Обычный 6 2 2 5 3 2 6 3 2 2" xfId="11845"/>
    <cellStyle name="Обычный 6 2 2 5 3 2 6 3 3" xfId="11846"/>
    <cellStyle name="Обычный 6 2 2 5 3 2 6 4" xfId="7074"/>
    <cellStyle name="Обычный 6 2 2 5 3 2 6 4 2" xfId="11847"/>
    <cellStyle name="Обычный 6 2 2 5 3 2 6 5" xfId="11848"/>
    <cellStyle name="Обычный 6 2 2 5 3 2 7" xfId="1567"/>
    <cellStyle name="Обычный 6 2 2 5 3 2 7 2" xfId="2673"/>
    <cellStyle name="Обычный 6 2 2 5 3 2 7 2 2" xfId="5211"/>
    <cellStyle name="Обычный 6 2 2 5 3 2 7 2 2 2" xfId="10329"/>
    <cellStyle name="Обычный 6 2 2 5 3 2 7 2 2 2 2" xfId="11849"/>
    <cellStyle name="Обычный 6 2 2 5 3 2 7 2 2 3" xfId="11850"/>
    <cellStyle name="Обычный 6 2 2 5 3 2 7 2 3" xfId="8273"/>
    <cellStyle name="Обычный 6 2 2 5 3 2 7 2 3 2" xfId="11851"/>
    <cellStyle name="Обычный 6 2 2 5 3 2 7 2 4" xfId="11852"/>
    <cellStyle name="Обычный 6 2 2 5 3 2 7 3" xfId="4183"/>
    <cellStyle name="Обычный 6 2 2 5 3 2 7 3 2" xfId="9301"/>
    <cellStyle name="Обычный 6 2 2 5 3 2 7 3 2 2" xfId="11853"/>
    <cellStyle name="Обычный 6 2 2 5 3 2 7 3 3" xfId="11854"/>
    <cellStyle name="Обычный 6 2 2 5 3 2 7 4" xfId="7245"/>
    <cellStyle name="Обычный 6 2 2 5 3 2 7 4 2" xfId="11855"/>
    <cellStyle name="Обычный 6 2 2 5 3 2 7 5" xfId="11856"/>
    <cellStyle name="Обычный 6 2 2 5 3 2 8" xfId="2985"/>
    <cellStyle name="Обычный 6 2 2 5 4" xfId="226"/>
    <cellStyle name="Обычный 6 2 2 5 4 2" xfId="684"/>
    <cellStyle name="Обычный 6 2 2 5 4 2 2" xfId="1812"/>
    <cellStyle name="Обычный 6 2 2 5 4 2 2 2" xfId="4355"/>
    <cellStyle name="Обычный 6 2 2 5 4 2 2 2 2" xfId="9473"/>
    <cellStyle name="Обычный 6 2 2 5 4 2 2 2 2 2" xfId="11857"/>
    <cellStyle name="Обычный 6 2 2 5 4 2 2 2 3" xfId="11858"/>
    <cellStyle name="Обычный 6 2 2 5 4 2 2 3" xfId="7417"/>
    <cellStyle name="Обычный 6 2 2 5 4 2 2 3 2" xfId="11859"/>
    <cellStyle name="Обычный 6 2 2 5 4 2 2 4" xfId="11860"/>
    <cellStyle name="Обычный 6 2 2 5 4 2 3" xfId="3327"/>
    <cellStyle name="Обычный 6 2 2 5 4 2 3 2" xfId="8445"/>
    <cellStyle name="Обычный 6 2 2 5 4 2 3 2 2" xfId="11861"/>
    <cellStyle name="Обычный 6 2 2 5 4 2 3 3" xfId="11862"/>
    <cellStyle name="Обычный 6 2 2 5 4 2 4" xfId="6389"/>
    <cellStyle name="Обычный 6 2 2 5 4 2 4 2" xfId="11863"/>
    <cellStyle name="Обычный 6 2 2 5 4 2 5" xfId="11864"/>
    <cellStyle name="Обычный 6 2 2 5 4 3" xfId="871"/>
    <cellStyle name="Обычный 6 2 2 5 4 3 2" xfId="1990"/>
    <cellStyle name="Обычный 6 2 2 5 4 3 2 2" xfId="4528"/>
    <cellStyle name="Обычный 6 2 2 5 4 3 2 2 2" xfId="9646"/>
    <cellStyle name="Обычный 6 2 2 5 4 3 2 2 2 2" xfId="11865"/>
    <cellStyle name="Обычный 6 2 2 5 4 3 2 2 3" xfId="11866"/>
    <cellStyle name="Обычный 6 2 2 5 4 3 2 3" xfId="7590"/>
    <cellStyle name="Обычный 6 2 2 5 4 3 2 3 2" xfId="11867"/>
    <cellStyle name="Обычный 6 2 2 5 4 3 2 4" xfId="11868"/>
    <cellStyle name="Обычный 6 2 2 5 4 3 3" xfId="3500"/>
    <cellStyle name="Обычный 6 2 2 5 4 3 3 2" xfId="8618"/>
    <cellStyle name="Обычный 6 2 2 5 4 3 3 2 2" xfId="11869"/>
    <cellStyle name="Обычный 6 2 2 5 4 3 3 3" xfId="11870"/>
    <cellStyle name="Обычный 6 2 2 5 4 3 4" xfId="6562"/>
    <cellStyle name="Обычный 6 2 2 5 4 3 4 2" xfId="11871"/>
    <cellStyle name="Обычный 6 2 2 5 4 3 5" xfId="11872"/>
    <cellStyle name="Обычный 6 2 2 5 4 4" xfId="1042"/>
    <cellStyle name="Обычный 6 2 2 5 4 4 2" xfId="2161"/>
    <cellStyle name="Обычный 6 2 2 5 4 4 2 2" xfId="4699"/>
    <cellStyle name="Обычный 6 2 2 5 4 4 2 2 2" xfId="9817"/>
    <cellStyle name="Обычный 6 2 2 5 4 4 2 2 2 2" xfId="11873"/>
    <cellStyle name="Обычный 6 2 2 5 4 4 2 2 3" xfId="11874"/>
    <cellStyle name="Обычный 6 2 2 5 4 4 2 3" xfId="7761"/>
    <cellStyle name="Обычный 6 2 2 5 4 4 2 3 2" xfId="11875"/>
    <cellStyle name="Обычный 6 2 2 5 4 4 2 4" xfId="11876"/>
    <cellStyle name="Обычный 6 2 2 5 4 4 3" xfId="3671"/>
    <cellStyle name="Обычный 6 2 2 5 4 4 3 2" xfId="8789"/>
    <cellStyle name="Обычный 6 2 2 5 4 4 3 2 2" xfId="11877"/>
    <cellStyle name="Обычный 6 2 2 5 4 4 3 3" xfId="11878"/>
    <cellStyle name="Обычный 6 2 2 5 4 4 4" xfId="6733"/>
    <cellStyle name="Обычный 6 2 2 5 4 4 4 2" xfId="11879"/>
    <cellStyle name="Обычный 6 2 2 5 4 4 5" xfId="11880"/>
    <cellStyle name="Обычный 6 2 2 5 4 5" xfId="1223"/>
    <cellStyle name="Обычный 6 2 2 5 4 5 2" xfId="2332"/>
    <cellStyle name="Обычный 6 2 2 5 4 5 2 2" xfId="4870"/>
    <cellStyle name="Обычный 6 2 2 5 4 5 2 2 2" xfId="9988"/>
    <cellStyle name="Обычный 6 2 2 5 4 5 2 2 2 2" xfId="11881"/>
    <cellStyle name="Обычный 6 2 2 5 4 5 2 2 3" xfId="11882"/>
    <cellStyle name="Обычный 6 2 2 5 4 5 2 3" xfId="7932"/>
    <cellStyle name="Обычный 6 2 2 5 4 5 2 3 2" xfId="11883"/>
    <cellStyle name="Обычный 6 2 2 5 4 5 2 4" xfId="11884"/>
    <cellStyle name="Обычный 6 2 2 5 4 5 3" xfId="3842"/>
    <cellStyle name="Обычный 6 2 2 5 4 5 3 2" xfId="8960"/>
    <cellStyle name="Обычный 6 2 2 5 4 5 3 2 2" xfId="11885"/>
    <cellStyle name="Обычный 6 2 2 5 4 5 3 3" xfId="11886"/>
    <cellStyle name="Обычный 6 2 2 5 4 5 4" xfId="6904"/>
    <cellStyle name="Обычный 6 2 2 5 4 5 4 2" xfId="11887"/>
    <cellStyle name="Обычный 6 2 2 5 4 5 5" xfId="11888"/>
    <cellStyle name="Обычный 6 2 2 5 4 6" xfId="1397"/>
    <cellStyle name="Обычный 6 2 2 5 4 6 2" xfId="2503"/>
    <cellStyle name="Обычный 6 2 2 5 4 6 2 2" xfId="5041"/>
    <cellStyle name="Обычный 6 2 2 5 4 6 2 2 2" xfId="10159"/>
    <cellStyle name="Обычный 6 2 2 5 4 6 2 2 2 2" xfId="11889"/>
    <cellStyle name="Обычный 6 2 2 5 4 6 2 2 3" xfId="11890"/>
    <cellStyle name="Обычный 6 2 2 5 4 6 2 3" xfId="8103"/>
    <cellStyle name="Обычный 6 2 2 5 4 6 2 3 2" xfId="11891"/>
    <cellStyle name="Обычный 6 2 2 5 4 6 2 4" xfId="11892"/>
    <cellStyle name="Обычный 6 2 2 5 4 6 3" xfId="4013"/>
    <cellStyle name="Обычный 6 2 2 5 4 6 3 2" xfId="9131"/>
    <cellStyle name="Обычный 6 2 2 5 4 6 3 2 2" xfId="11893"/>
    <cellStyle name="Обычный 6 2 2 5 4 6 3 3" xfId="11894"/>
    <cellStyle name="Обычный 6 2 2 5 4 6 4" xfId="7075"/>
    <cellStyle name="Обычный 6 2 2 5 4 6 4 2" xfId="11895"/>
    <cellStyle name="Обычный 6 2 2 5 4 6 5" xfId="11896"/>
    <cellStyle name="Обычный 6 2 2 5 4 7" xfId="1568"/>
    <cellStyle name="Обычный 6 2 2 5 4 7 2" xfId="2674"/>
    <cellStyle name="Обычный 6 2 2 5 4 7 2 2" xfId="5212"/>
    <cellStyle name="Обычный 6 2 2 5 4 7 2 2 2" xfId="10330"/>
    <cellStyle name="Обычный 6 2 2 5 4 7 2 2 2 2" xfId="11897"/>
    <cellStyle name="Обычный 6 2 2 5 4 7 2 2 3" xfId="11898"/>
    <cellStyle name="Обычный 6 2 2 5 4 7 2 3" xfId="8274"/>
    <cellStyle name="Обычный 6 2 2 5 4 7 2 3 2" xfId="11899"/>
    <cellStyle name="Обычный 6 2 2 5 4 7 2 4" xfId="11900"/>
    <cellStyle name="Обычный 6 2 2 5 4 7 3" xfId="4184"/>
    <cellStyle name="Обычный 6 2 2 5 4 7 3 2" xfId="9302"/>
    <cellStyle name="Обычный 6 2 2 5 4 7 3 2 2" xfId="11901"/>
    <cellStyle name="Обычный 6 2 2 5 4 7 3 3" xfId="11902"/>
    <cellStyle name="Обычный 6 2 2 5 4 7 4" xfId="7246"/>
    <cellStyle name="Обычный 6 2 2 5 4 7 4 2" xfId="11903"/>
    <cellStyle name="Обычный 6 2 2 5 4 7 5" xfId="11904"/>
    <cellStyle name="Обычный 6 2 2 5 4 8" xfId="2986"/>
    <cellStyle name="Обычный 6 2 2 6" xfId="227"/>
    <cellStyle name="Обычный 6 2 2 6 2" xfId="228"/>
    <cellStyle name="Обычный 6 2 2 6 2 2" xfId="685"/>
    <cellStyle name="Обычный 6 2 2 6 2 2 2" xfId="1813"/>
    <cellStyle name="Обычный 6 2 2 6 2 2 2 2" xfId="4356"/>
    <cellStyle name="Обычный 6 2 2 6 2 2 2 2 2" xfId="9474"/>
    <cellStyle name="Обычный 6 2 2 6 2 2 2 2 2 2" xfId="11905"/>
    <cellStyle name="Обычный 6 2 2 6 2 2 2 2 3" xfId="11906"/>
    <cellStyle name="Обычный 6 2 2 6 2 2 2 3" xfId="7418"/>
    <cellStyle name="Обычный 6 2 2 6 2 2 2 3 2" xfId="11907"/>
    <cellStyle name="Обычный 6 2 2 6 2 2 2 4" xfId="11908"/>
    <cellStyle name="Обычный 6 2 2 6 2 2 3" xfId="3328"/>
    <cellStyle name="Обычный 6 2 2 6 2 2 3 2" xfId="8446"/>
    <cellStyle name="Обычный 6 2 2 6 2 2 3 2 2" xfId="11909"/>
    <cellStyle name="Обычный 6 2 2 6 2 2 3 3" xfId="11910"/>
    <cellStyle name="Обычный 6 2 2 6 2 2 4" xfId="6390"/>
    <cellStyle name="Обычный 6 2 2 6 2 2 4 2" xfId="11911"/>
    <cellStyle name="Обычный 6 2 2 6 2 2 5" xfId="11912"/>
    <cellStyle name="Обычный 6 2 2 6 2 3" xfId="872"/>
    <cellStyle name="Обычный 6 2 2 6 2 3 2" xfId="1991"/>
    <cellStyle name="Обычный 6 2 2 6 2 3 2 2" xfId="4529"/>
    <cellStyle name="Обычный 6 2 2 6 2 3 2 2 2" xfId="9647"/>
    <cellStyle name="Обычный 6 2 2 6 2 3 2 2 2 2" xfId="11913"/>
    <cellStyle name="Обычный 6 2 2 6 2 3 2 2 3" xfId="11914"/>
    <cellStyle name="Обычный 6 2 2 6 2 3 2 3" xfId="7591"/>
    <cellStyle name="Обычный 6 2 2 6 2 3 2 3 2" xfId="11915"/>
    <cellStyle name="Обычный 6 2 2 6 2 3 2 4" xfId="11916"/>
    <cellStyle name="Обычный 6 2 2 6 2 3 3" xfId="3501"/>
    <cellStyle name="Обычный 6 2 2 6 2 3 3 2" xfId="8619"/>
    <cellStyle name="Обычный 6 2 2 6 2 3 3 2 2" xfId="11917"/>
    <cellStyle name="Обычный 6 2 2 6 2 3 3 3" xfId="11918"/>
    <cellStyle name="Обычный 6 2 2 6 2 3 4" xfId="6563"/>
    <cellStyle name="Обычный 6 2 2 6 2 3 4 2" xfId="11919"/>
    <cellStyle name="Обычный 6 2 2 6 2 3 5" xfId="11920"/>
    <cellStyle name="Обычный 6 2 2 6 2 4" xfId="1043"/>
    <cellStyle name="Обычный 6 2 2 6 2 4 2" xfId="2162"/>
    <cellStyle name="Обычный 6 2 2 6 2 4 2 2" xfId="4700"/>
    <cellStyle name="Обычный 6 2 2 6 2 4 2 2 2" xfId="9818"/>
    <cellStyle name="Обычный 6 2 2 6 2 4 2 2 2 2" xfId="11921"/>
    <cellStyle name="Обычный 6 2 2 6 2 4 2 2 3" xfId="11922"/>
    <cellStyle name="Обычный 6 2 2 6 2 4 2 3" xfId="7762"/>
    <cellStyle name="Обычный 6 2 2 6 2 4 2 3 2" xfId="11923"/>
    <cellStyle name="Обычный 6 2 2 6 2 4 2 4" xfId="11924"/>
    <cellStyle name="Обычный 6 2 2 6 2 4 3" xfId="3672"/>
    <cellStyle name="Обычный 6 2 2 6 2 4 3 2" xfId="8790"/>
    <cellStyle name="Обычный 6 2 2 6 2 4 3 2 2" xfId="11925"/>
    <cellStyle name="Обычный 6 2 2 6 2 4 3 3" xfId="11926"/>
    <cellStyle name="Обычный 6 2 2 6 2 4 4" xfId="6734"/>
    <cellStyle name="Обычный 6 2 2 6 2 4 4 2" xfId="11927"/>
    <cellStyle name="Обычный 6 2 2 6 2 4 5" xfId="11928"/>
    <cellStyle name="Обычный 6 2 2 6 2 5" xfId="1224"/>
    <cellStyle name="Обычный 6 2 2 6 2 5 2" xfId="2333"/>
    <cellStyle name="Обычный 6 2 2 6 2 5 2 2" xfId="4871"/>
    <cellStyle name="Обычный 6 2 2 6 2 5 2 2 2" xfId="9989"/>
    <cellStyle name="Обычный 6 2 2 6 2 5 2 2 2 2" xfId="11929"/>
    <cellStyle name="Обычный 6 2 2 6 2 5 2 2 3" xfId="11930"/>
    <cellStyle name="Обычный 6 2 2 6 2 5 2 3" xfId="7933"/>
    <cellStyle name="Обычный 6 2 2 6 2 5 2 3 2" xfId="11931"/>
    <cellStyle name="Обычный 6 2 2 6 2 5 2 4" xfId="11932"/>
    <cellStyle name="Обычный 6 2 2 6 2 5 3" xfId="3843"/>
    <cellStyle name="Обычный 6 2 2 6 2 5 3 2" xfId="8961"/>
    <cellStyle name="Обычный 6 2 2 6 2 5 3 2 2" xfId="11933"/>
    <cellStyle name="Обычный 6 2 2 6 2 5 3 3" xfId="11934"/>
    <cellStyle name="Обычный 6 2 2 6 2 5 4" xfId="6905"/>
    <cellStyle name="Обычный 6 2 2 6 2 5 4 2" xfId="11935"/>
    <cellStyle name="Обычный 6 2 2 6 2 5 5" xfId="11936"/>
    <cellStyle name="Обычный 6 2 2 6 2 6" xfId="1398"/>
    <cellStyle name="Обычный 6 2 2 6 2 6 2" xfId="2504"/>
    <cellStyle name="Обычный 6 2 2 6 2 6 2 2" xfId="5042"/>
    <cellStyle name="Обычный 6 2 2 6 2 6 2 2 2" xfId="10160"/>
    <cellStyle name="Обычный 6 2 2 6 2 6 2 2 2 2" xfId="11937"/>
    <cellStyle name="Обычный 6 2 2 6 2 6 2 2 3" xfId="11938"/>
    <cellStyle name="Обычный 6 2 2 6 2 6 2 3" xfId="8104"/>
    <cellStyle name="Обычный 6 2 2 6 2 6 2 3 2" xfId="11939"/>
    <cellStyle name="Обычный 6 2 2 6 2 6 2 4" xfId="11940"/>
    <cellStyle name="Обычный 6 2 2 6 2 6 3" xfId="4014"/>
    <cellStyle name="Обычный 6 2 2 6 2 6 3 2" xfId="9132"/>
    <cellStyle name="Обычный 6 2 2 6 2 6 3 2 2" xfId="11941"/>
    <cellStyle name="Обычный 6 2 2 6 2 6 3 3" xfId="11942"/>
    <cellStyle name="Обычный 6 2 2 6 2 6 4" xfId="7076"/>
    <cellStyle name="Обычный 6 2 2 6 2 6 4 2" xfId="11943"/>
    <cellStyle name="Обычный 6 2 2 6 2 6 5" xfId="11944"/>
    <cellStyle name="Обычный 6 2 2 6 2 7" xfId="1569"/>
    <cellStyle name="Обычный 6 2 2 6 2 7 2" xfId="2675"/>
    <cellStyle name="Обычный 6 2 2 6 2 7 2 2" xfId="5213"/>
    <cellStyle name="Обычный 6 2 2 6 2 7 2 2 2" xfId="10331"/>
    <cellStyle name="Обычный 6 2 2 6 2 7 2 2 2 2" xfId="11945"/>
    <cellStyle name="Обычный 6 2 2 6 2 7 2 2 3" xfId="11946"/>
    <cellStyle name="Обычный 6 2 2 6 2 7 2 3" xfId="8275"/>
    <cellStyle name="Обычный 6 2 2 6 2 7 2 3 2" xfId="11947"/>
    <cellStyle name="Обычный 6 2 2 6 2 7 2 4" xfId="11948"/>
    <cellStyle name="Обычный 6 2 2 6 2 7 3" xfId="4185"/>
    <cellStyle name="Обычный 6 2 2 6 2 7 3 2" xfId="9303"/>
    <cellStyle name="Обычный 6 2 2 6 2 7 3 2 2" xfId="11949"/>
    <cellStyle name="Обычный 6 2 2 6 2 7 3 3" xfId="11950"/>
    <cellStyle name="Обычный 6 2 2 6 2 7 4" xfId="7247"/>
    <cellStyle name="Обычный 6 2 2 6 2 7 4 2" xfId="11951"/>
    <cellStyle name="Обычный 6 2 2 6 2 7 5" xfId="11952"/>
    <cellStyle name="Обычный 6 2 2 6 2 8" xfId="2987"/>
    <cellStyle name="Обычный 6 2 2 7" xfId="229"/>
    <cellStyle name="Обычный 6 2 2 7 2" xfId="230"/>
    <cellStyle name="Обычный 6 2 2 7 2 2" xfId="686"/>
    <cellStyle name="Обычный 6 2 2 7 2 2 2" xfId="1814"/>
    <cellStyle name="Обычный 6 2 2 7 2 2 2 2" xfId="4357"/>
    <cellStyle name="Обычный 6 2 2 7 2 2 2 2 2" xfId="9475"/>
    <cellStyle name="Обычный 6 2 2 7 2 2 2 2 2 2" xfId="11953"/>
    <cellStyle name="Обычный 6 2 2 7 2 2 2 2 3" xfId="11954"/>
    <cellStyle name="Обычный 6 2 2 7 2 2 2 3" xfId="7419"/>
    <cellStyle name="Обычный 6 2 2 7 2 2 2 3 2" xfId="11955"/>
    <cellStyle name="Обычный 6 2 2 7 2 2 2 4" xfId="11956"/>
    <cellStyle name="Обычный 6 2 2 7 2 2 3" xfId="3329"/>
    <cellStyle name="Обычный 6 2 2 7 2 2 3 2" xfId="8447"/>
    <cellStyle name="Обычный 6 2 2 7 2 2 3 2 2" xfId="11957"/>
    <cellStyle name="Обычный 6 2 2 7 2 2 3 3" xfId="11958"/>
    <cellStyle name="Обычный 6 2 2 7 2 2 4" xfId="6391"/>
    <cellStyle name="Обычный 6 2 2 7 2 2 4 2" xfId="11959"/>
    <cellStyle name="Обычный 6 2 2 7 2 2 5" xfId="11960"/>
    <cellStyle name="Обычный 6 2 2 7 2 3" xfId="873"/>
    <cellStyle name="Обычный 6 2 2 7 2 3 2" xfId="1992"/>
    <cellStyle name="Обычный 6 2 2 7 2 3 2 2" xfId="4530"/>
    <cellStyle name="Обычный 6 2 2 7 2 3 2 2 2" xfId="9648"/>
    <cellStyle name="Обычный 6 2 2 7 2 3 2 2 2 2" xfId="11961"/>
    <cellStyle name="Обычный 6 2 2 7 2 3 2 2 3" xfId="11962"/>
    <cellStyle name="Обычный 6 2 2 7 2 3 2 3" xfId="7592"/>
    <cellStyle name="Обычный 6 2 2 7 2 3 2 3 2" xfId="11963"/>
    <cellStyle name="Обычный 6 2 2 7 2 3 2 4" xfId="11964"/>
    <cellStyle name="Обычный 6 2 2 7 2 3 3" xfId="3502"/>
    <cellStyle name="Обычный 6 2 2 7 2 3 3 2" xfId="8620"/>
    <cellStyle name="Обычный 6 2 2 7 2 3 3 2 2" xfId="11965"/>
    <cellStyle name="Обычный 6 2 2 7 2 3 3 3" xfId="11966"/>
    <cellStyle name="Обычный 6 2 2 7 2 3 4" xfId="6564"/>
    <cellStyle name="Обычный 6 2 2 7 2 3 4 2" xfId="11967"/>
    <cellStyle name="Обычный 6 2 2 7 2 3 5" xfId="11968"/>
    <cellStyle name="Обычный 6 2 2 7 2 4" xfId="1044"/>
    <cellStyle name="Обычный 6 2 2 7 2 4 2" xfId="2163"/>
    <cellStyle name="Обычный 6 2 2 7 2 4 2 2" xfId="4701"/>
    <cellStyle name="Обычный 6 2 2 7 2 4 2 2 2" xfId="9819"/>
    <cellStyle name="Обычный 6 2 2 7 2 4 2 2 2 2" xfId="11969"/>
    <cellStyle name="Обычный 6 2 2 7 2 4 2 2 3" xfId="11970"/>
    <cellStyle name="Обычный 6 2 2 7 2 4 2 3" xfId="7763"/>
    <cellStyle name="Обычный 6 2 2 7 2 4 2 3 2" xfId="11971"/>
    <cellStyle name="Обычный 6 2 2 7 2 4 2 4" xfId="11972"/>
    <cellStyle name="Обычный 6 2 2 7 2 4 3" xfId="3673"/>
    <cellStyle name="Обычный 6 2 2 7 2 4 3 2" xfId="8791"/>
    <cellStyle name="Обычный 6 2 2 7 2 4 3 2 2" xfId="11973"/>
    <cellStyle name="Обычный 6 2 2 7 2 4 3 3" xfId="11974"/>
    <cellStyle name="Обычный 6 2 2 7 2 4 4" xfId="6735"/>
    <cellStyle name="Обычный 6 2 2 7 2 4 4 2" xfId="11975"/>
    <cellStyle name="Обычный 6 2 2 7 2 4 5" xfId="11976"/>
    <cellStyle name="Обычный 6 2 2 7 2 5" xfId="1225"/>
    <cellStyle name="Обычный 6 2 2 7 2 5 2" xfId="2334"/>
    <cellStyle name="Обычный 6 2 2 7 2 5 2 2" xfId="4872"/>
    <cellStyle name="Обычный 6 2 2 7 2 5 2 2 2" xfId="9990"/>
    <cellStyle name="Обычный 6 2 2 7 2 5 2 2 2 2" xfId="11977"/>
    <cellStyle name="Обычный 6 2 2 7 2 5 2 2 3" xfId="11978"/>
    <cellStyle name="Обычный 6 2 2 7 2 5 2 3" xfId="7934"/>
    <cellStyle name="Обычный 6 2 2 7 2 5 2 3 2" xfId="11979"/>
    <cellStyle name="Обычный 6 2 2 7 2 5 2 4" xfId="11980"/>
    <cellStyle name="Обычный 6 2 2 7 2 5 3" xfId="3844"/>
    <cellStyle name="Обычный 6 2 2 7 2 5 3 2" xfId="8962"/>
    <cellStyle name="Обычный 6 2 2 7 2 5 3 2 2" xfId="11981"/>
    <cellStyle name="Обычный 6 2 2 7 2 5 3 3" xfId="11982"/>
    <cellStyle name="Обычный 6 2 2 7 2 5 4" xfId="6906"/>
    <cellStyle name="Обычный 6 2 2 7 2 5 4 2" xfId="11983"/>
    <cellStyle name="Обычный 6 2 2 7 2 5 5" xfId="11984"/>
    <cellStyle name="Обычный 6 2 2 7 2 6" xfId="1399"/>
    <cellStyle name="Обычный 6 2 2 7 2 6 2" xfId="2505"/>
    <cellStyle name="Обычный 6 2 2 7 2 6 2 2" xfId="5043"/>
    <cellStyle name="Обычный 6 2 2 7 2 6 2 2 2" xfId="10161"/>
    <cellStyle name="Обычный 6 2 2 7 2 6 2 2 2 2" xfId="11985"/>
    <cellStyle name="Обычный 6 2 2 7 2 6 2 2 3" xfId="11986"/>
    <cellStyle name="Обычный 6 2 2 7 2 6 2 3" xfId="8105"/>
    <cellStyle name="Обычный 6 2 2 7 2 6 2 3 2" xfId="11987"/>
    <cellStyle name="Обычный 6 2 2 7 2 6 2 4" xfId="11988"/>
    <cellStyle name="Обычный 6 2 2 7 2 6 3" xfId="4015"/>
    <cellStyle name="Обычный 6 2 2 7 2 6 3 2" xfId="9133"/>
    <cellStyle name="Обычный 6 2 2 7 2 6 3 2 2" xfId="11989"/>
    <cellStyle name="Обычный 6 2 2 7 2 6 3 3" xfId="11990"/>
    <cellStyle name="Обычный 6 2 2 7 2 6 4" xfId="7077"/>
    <cellStyle name="Обычный 6 2 2 7 2 6 4 2" xfId="11991"/>
    <cellStyle name="Обычный 6 2 2 7 2 6 5" xfId="11992"/>
    <cellStyle name="Обычный 6 2 2 7 2 7" xfId="1570"/>
    <cellStyle name="Обычный 6 2 2 7 2 7 2" xfId="2676"/>
    <cellStyle name="Обычный 6 2 2 7 2 7 2 2" xfId="5214"/>
    <cellStyle name="Обычный 6 2 2 7 2 7 2 2 2" xfId="10332"/>
    <cellStyle name="Обычный 6 2 2 7 2 7 2 2 2 2" xfId="11993"/>
    <cellStyle name="Обычный 6 2 2 7 2 7 2 2 3" xfId="11994"/>
    <cellStyle name="Обычный 6 2 2 7 2 7 2 3" xfId="8276"/>
    <cellStyle name="Обычный 6 2 2 7 2 7 2 3 2" xfId="11995"/>
    <cellStyle name="Обычный 6 2 2 7 2 7 2 4" xfId="11996"/>
    <cellStyle name="Обычный 6 2 2 7 2 7 3" xfId="4186"/>
    <cellStyle name="Обычный 6 2 2 7 2 7 3 2" xfId="9304"/>
    <cellStyle name="Обычный 6 2 2 7 2 7 3 2 2" xfId="11997"/>
    <cellStyle name="Обычный 6 2 2 7 2 7 3 3" xfId="11998"/>
    <cellStyle name="Обычный 6 2 2 7 2 7 4" xfId="7248"/>
    <cellStyle name="Обычный 6 2 2 7 2 7 4 2" xfId="11999"/>
    <cellStyle name="Обычный 6 2 2 7 2 7 5" xfId="12000"/>
    <cellStyle name="Обычный 6 2 2 7 2 8" xfId="2988"/>
    <cellStyle name="Обычный 6 2 2 8" xfId="231"/>
    <cellStyle name="Обычный 6 2 2 8 2" xfId="232"/>
    <cellStyle name="Обычный 6 2 2 8 2 2" xfId="687"/>
    <cellStyle name="Обычный 6 2 2 8 2 2 2" xfId="1815"/>
    <cellStyle name="Обычный 6 2 2 8 2 2 2 2" xfId="4358"/>
    <cellStyle name="Обычный 6 2 2 8 2 2 2 2 2" xfId="9476"/>
    <cellStyle name="Обычный 6 2 2 8 2 2 2 2 2 2" xfId="12001"/>
    <cellStyle name="Обычный 6 2 2 8 2 2 2 2 3" xfId="12002"/>
    <cellStyle name="Обычный 6 2 2 8 2 2 2 3" xfId="7420"/>
    <cellStyle name="Обычный 6 2 2 8 2 2 2 3 2" xfId="12003"/>
    <cellStyle name="Обычный 6 2 2 8 2 2 2 4" xfId="12004"/>
    <cellStyle name="Обычный 6 2 2 8 2 2 3" xfId="3330"/>
    <cellStyle name="Обычный 6 2 2 8 2 2 3 2" xfId="8448"/>
    <cellStyle name="Обычный 6 2 2 8 2 2 3 2 2" xfId="12005"/>
    <cellStyle name="Обычный 6 2 2 8 2 2 3 3" xfId="12006"/>
    <cellStyle name="Обычный 6 2 2 8 2 2 4" xfId="6392"/>
    <cellStyle name="Обычный 6 2 2 8 2 2 4 2" xfId="12007"/>
    <cellStyle name="Обычный 6 2 2 8 2 2 5" xfId="12008"/>
    <cellStyle name="Обычный 6 2 2 8 2 3" xfId="874"/>
    <cellStyle name="Обычный 6 2 2 8 2 3 2" xfId="1993"/>
    <cellStyle name="Обычный 6 2 2 8 2 3 2 2" xfId="4531"/>
    <cellStyle name="Обычный 6 2 2 8 2 3 2 2 2" xfId="9649"/>
    <cellStyle name="Обычный 6 2 2 8 2 3 2 2 2 2" xfId="12009"/>
    <cellStyle name="Обычный 6 2 2 8 2 3 2 2 3" xfId="12010"/>
    <cellStyle name="Обычный 6 2 2 8 2 3 2 3" xfId="7593"/>
    <cellStyle name="Обычный 6 2 2 8 2 3 2 3 2" xfId="12011"/>
    <cellStyle name="Обычный 6 2 2 8 2 3 2 4" xfId="12012"/>
    <cellStyle name="Обычный 6 2 2 8 2 3 3" xfId="3503"/>
    <cellStyle name="Обычный 6 2 2 8 2 3 3 2" xfId="8621"/>
    <cellStyle name="Обычный 6 2 2 8 2 3 3 2 2" xfId="12013"/>
    <cellStyle name="Обычный 6 2 2 8 2 3 3 3" xfId="12014"/>
    <cellStyle name="Обычный 6 2 2 8 2 3 4" xfId="6565"/>
    <cellStyle name="Обычный 6 2 2 8 2 3 4 2" xfId="12015"/>
    <cellStyle name="Обычный 6 2 2 8 2 3 5" xfId="12016"/>
    <cellStyle name="Обычный 6 2 2 8 2 4" xfId="1045"/>
    <cellStyle name="Обычный 6 2 2 8 2 4 2" xfId="2164"/>
    <cellStyle name="Обычный 6 2 2 8 2 4 2 2" xfId="4702"/>
    <cellStyle name="Обычный 6 2 2 8 2 4 2 2 2" xfId="9820"/>
    <cellStyle name="Обычный 6 2 2 8 2 4 2 2 2 2" xfId="12017"/>
    <cellStyle name="Обычный 6 2 2 8 2 4 2 2 3" xfId="12018"/>
    <cellStyle name="Обычный 6 2 2 8 2 4 2 3" xfId="7764"/>
    <cellStyle name="Обычный 6 2 2 8 2 4 2 3 2" xfId="12019"/>
    <cellStyle name="Обычный 6 2 2 8 2 4 2 4" xfId="12020"/>
    <cellStyle name="Обычный 6 2 2 8 2 4 3" xfId="3674"/>
    <cellStyle name="Обычный 6 2 2 8 2 4 3 2" xfId="8792"/>
    <cellStyle name="Обычный 6 2 2 8 2 4 3 2 2" xfId="12021"/>
    <cellStyle name="Обычный 6 2 2 8 2 4 3 3" xfId="12022"/>
    <cellStyle name="Обычный 6 2 2 8 2 4 4" xfId="6736"/>
    <cellStyle name="Обычный 6 2 2 8 2 4 4 2" xfId="12023"/>
    <cellStyle name="Обычный 6 2 2 8 2 4 5" xfId="12024"/>
    <cellStyle name="Обычный 6 2 2 8 2 5" xfId="1226"/>
    <cellStyle name="Обычный 6 2 2 8 2 5 2" xfId="2335"/>
    <cellStyle name="Обычный 6 2 2 8 2 5 2 2" xfId="4873"/>
    <cellStyle name="Обычный 6 2 2 8 2 5 2 2 2" xfId="9991"/>
    <cellStyle name="Обычный 6 2 2 8 2 5 2 2 2 2" xfId="12025"/>
    <cellStyle name="Обычный 6 2 2 8 2 5 2 2 3" xfId="12026"/>
    <cellStyle name="Обычный 6 2 2 8 2 5 2 3" xfId="7935"/>
    <cellStyle name="Обычный 6 2 2 8 2 5 2 3 2" xfId="12027"/>
    <cellStyle name="Обычный 6 2 2 8 2 5 2 4" xfId="12028"/>
    <cellStyle name="Обычный 6 2 2 8 2 5 3" xfId="3845"/>
    <cellStyle name="Обычный 6 2 2 8 2 5 3 2" xfId="8963"/>
    <cellStyle name="Обычный 6 2 2 8 2 5 3 2 2" xfId="12029"/>
    <cellStyle name="Обычный 6 2 2 8 2 5 3 3" xfId="12030"/>
    <cellStyle name="Обычный 6 2 2 8 2 5 4" xfId="6907"/>
    <cellStyle name="Обычный 6 2 2 8 2 5 4 2" xfId="12031"/>
    <cellStyle name="Обычный 6 2 2 8 2 5 5" xfId="12032"/>
    <cellStyle name="Обычный 6 2 2 8 2 6" xfId="1400"/>
    <cellStyle name="Обычный 6 2 2 8 2 6 2" xfId="2506"/>
    <cellStyle name="Обычный 6 2 2 8 2 6 2 2" xfId="5044"/>
    <cellStyle name="Обычный 6 2 2 8 2 6 2 2 2" xfId="10162"/>
    <cellStyle name="Обычный 6 2 2 8 2 6 2 2 2 2" xfId="12033"/>
    <cellStyle name="Обычный 6 2 2 8 2 6 2 2 3" xfId="12034"/>
    <cellStyle name="Обычный 6 2 2 8 2 6 2 3" xfId="8106"/>
    <cellStyle name="Обычный 6 2 2 8 2 6 2 3 2" xfId="12035"/>
    <cellStyle name="Обычный 6 2 2 8 2 6 2 4" xfId="12036"/>
    <cellStyle name="Обычный 6 2 2 8 2 6 3" xfId="4016"/>
    <cellStyle name="Обычный 6 2 2 8 2 6 3 2" xfId="9134"/>
    <cellStyle name="Обычный 6 2 2 8 2 6 3 2 2" xfId="12037"/>
    <cellStyle name="Обычный 6 2 2 8 2 6 3 3" xfId="12038"/>
    <cellStyle name="Обычный 6 2 2 8 2 6 4" xfId="7078"/>
    <cellStyle name="Обычный 6 2 2 8 2 6 4 2" xfId="12039"/>
    <cellStyle name="Обычный 6 2 2 8 2 6 5" xfId="12040"/>
    <cellStyle name="Обычный 6 2 2 8 2 7" xfId="1571"/>
    <cellStyle name="Обычный 6 2 2 8 2 7 2" xfId="2677"/>
    <cellStyle name="Обычный 6 2 2 8 2 7 2 2" xfId="5215"/>
    <cellStyle name="Обычный 6 2 2 8 2 7 2 2 2" xfId="10333"/>
    <cellStyle name="Обычный 6 2 2 8 2 7 2 2 2 2" xfId="12041"/>
    <cellStyle name="Обычный 6 2 2 8 2 7 2 2 3" xfId="12042"/>
    <cellStyle name="Обычный 6 2 2 8 2 7 2 3" xfId="8277"/>
    <cellStyle name="Обычный 6 2 2 8 2 7 2 3 2" xfId="12043"/>
    <cellStyle name="Обычный 6 2 2 8 2 7 2 4" xfId="12044"/>
    <cellStyle name="Обычный 6 2 2 8 2 7 3" xfId="4187"/>
    <cellStyle name="Обычный 6 2 2 8 2 7 3 2" xfId="9305"/>
    <cellStyle name="Обычный 6 2 2 8 2 7 3 2 2" xfId="12045"/>
    <cellStyle name="Обычный 6 2 2 8 2 7 3 3" xfId="12046"/>
    <cellStyle name="Обычный 6 2 2 8 2 7 4" xfId="7249"/>
    <cellStyle name="Обычный 6 2 2 8 2 7 4 2" xfId="12047"/>
    <cellStyle name="Обычный 6 2 2 8 2 7 5" xfId="12048"/>
    <cellStyle name="Обычный 6 2 2 8 2 8" xfId="2989"/>
    <cellStyle name="Обычный 6 2 2 9" xfId="233"/>
    <cellStyle name="Обычный 6 2 2 9 2" xfId="688"/>
    <cellStyle name="Обычный 6 2 2 9 2 2" xfId="1816"/>
    <cellStyle name="Обычный 6 2 2 9 2 2 2" xfId="4359"/>
    <cellStyle name="Обычный 6 2 2 9 2 2 2 2" xfId="9477"/>
    <cellStyle name="Обычный 6 2 2 9 2 2 2 2 2" xfId="12049"/>
    <cellStyle name="Обычный 6 2 2 9 2 2 2 3" xfId="12050"/>
    <cellStyle name="Обычный 6 2 2 9 2 2 3" xfId="7421"/>
    <cellStyle name="Обычный 6 2 2 9 2 2 3 2" xfId="12051"/>
    <cellStyle name="Обычный 6 2 2 9 2 2 4" xfId="12052"/>
    <cellStyle name="Обычный 6 2 2 9 2 3" xfId="3331"/>
    <cellStyle name="Обычный 6 2 2 9 2 3 2" xfId="8449"/>
    <cellStyle name="Обычный 6 2 2 9 2 3 2 2" xfId="12053"/>
    <cellStyle name="Обычный 6 2 2 9 2 3 3" xfId="12054"/>
    <cellStyle name="Обычный 6 2 2 9 2 4" xfId="6393"/>
    <cellStyle name="Обычный 6 2 2 9 2 4 2" xfId="12055"/>
    <cellStyle name="Обычный 6 2 2 9 2 5" xfId="12056"/>
    <cellStyle name="Обычный 6 2 2 9 3" xfId="875"/>
    <cellStyle name="Обычный 6 2 2 9 3 2" xfId="1994"/>
    <cellStyle name="Обычный 6 2 2 9 3 2 2" xfId="4532"/>
    <cellStyle name="Обычный 6 2 2 9 3 2 2 2" xfId="9650"/>
    <cellStyle name="Обычный 6 2 2 9 3 2 2 2 2" xfId="12057"/>
    <cellStyle name="Обычный 6 2 2 9 3 2 2 3" xfId="12058"/>
    <cellStyle name="Обычный 6 2 2 9 3 2 3" xfId="7594"/>
    <cellStyle name="Обычный 6 2 2 9 3 2 3 2" xfId="12059"/>
    <cellStyle name="Обычный 6 2 2 9 3 2 4" xfId="12060"/>
    <cellStyle name="Обычный 6 2 2 9 3 3" xfId="3504"/>
    <cellStyle name="Обычный 6 2 2 9 3 3 2" xfId="8622"/>
    <cellStyle name="Обычный 6 2 2 9 3 3 2 2" xfId="12061"/>
    <cellStyle name="Обычный 6 2 2 9 3 3 3" xfId="12062"/>
    <cellStyle name="Обычный 6 2 2 9 3 4" xfId="6566"/>
    <cellStyle name="Обычный 6 2 2 9 3 4 2" xfId="12063"/>
    <cellStyle name="Обычный 6 2 2 9 3 5" xfId="12064"/>
    <cellStyle name="Обычный 6 2 2 9 4" xfId="1046"/>
    <cellStyle name="Обычный 6 2 2 9 4 2" xfId="2165"/>
    <cellStyle name="Обычный 6 2 2 9 4 2 2" xfId="4703"/>
    <cellStyle name="Обычный 6 2 2 9 4 2 2 2" xfId="9821"/>
    <cellStyle name="Обычный 6 2 2 9 4 2 2 2 2" xfId="12065"/>
    <cellStyle name="Обычный 6 2 2 9 4 2 2 3" xfId="12066"/>
    <cellStyle name="Обычный 6 2 2 9 4 2 3" xfId="7765"/>
    <cellStyle name="Обычный 6 2 2 9 4 2 3 2" xfId="12067"/>
    <cellStyle name="Обычный 6 2 2 9 4 2 4" xfId="12068"/>
    <cellStyle name="Обычный 6 2 2 9 4 3" xfId="3675"/>
    <cellStyle name="Обычный 6 2 2 9 4 3 2" xfId="8793"/>
    <cellStyle name="Обычный 6 2 2 9 4 3 2 2" xfId="12069"/>
    <cellStyle name="Обычный 6 2 2 9 4 3 3" xfId="12070"/>
    <cellStyle name="Обычный 6 2 2 9 4 4" xfId="6737"/>
    <cellStyle name="Обычный 6 2 2 9 4 4 2" xfId="12071"/>
    <cellStyle name="Обычный 6 2 2 9 4 5" xfId="12072"/>
    <cellStyle name="Обычный 6 2 2 9 5" xfId="1227"/>
    <cellStyle name="Обычный 6 2 2 9 5 2" xfId="2336"/>
    <cellStyle name="Обычный 6 2 2 9 5 2 2" xfId="4874"/>
    <cellStyle name="Обычный 6 2 2 9 5 2 2 2" xfId="9992"/>
    <cellStyle name="Обычный 6 2 2 9 5 2 2 2 2" xfId="12073"/>
    <cellStyle name="Обычный 6 2 2 9 5 2 2 3" xfId="12074"/>
    <cellStyle name="Обычный 6 2 2 9 5 2 3" xfId="7936"/>
    <cellStyle name="Обычный 6 2 2 9 5 2 3 2" xfId="12075"/>
    <cellStyle name="Обычный 6 2 2 9 5 2 4" xfId="12076"/>
    <cellStyle name="Обычный 6 2 2 9 5 3" xfId="3846"/>
    <cellStyle name="Обычный 6 2 2 9 5 3 2" xfId="8964"/>
    <cellStyle name="Обычный 6 2 2 9 5 3 2 2" xfId="12077"/>
    <cellStyle name="Обычный 6 2 2 9 5 3 3" xfId="12078"/>
    <cellStyle name="Обычный 6 2 2 9 5 4" xfId="6908"/>
    <cellStyle name="Обычный 6 2 2 9 5 4 2" xfId="12079"/>
    <cellStyle name="Обычный 6 2 2 9 5 5" xfId="12080"/>
    <cellStyle name="Обычный 6 2 2 9 6" xfId="1401"/>
    <cellStyle name="Обычный 6 2 2 9 6 2" xfId="2507"/>
    <cellStyle name="Обычный 6 2 2 9 6 2 2" xfId="5045"/>
    <cellStyle name="Обычный 6 2 2 9 6 2 2 2" xfId="10163"/>
    <cellStyle name="Обычный 6 2 2 9 6 2 2 2 2" xfId="12081"/>
    <cellStyle name="Обычный 6 2 2 9 6 2 2 3" xfId="12082"/>
    <cellStyle name="Обычный 6 2 2 9 6 2 3" xfId="8107"/>
    <cellStyle name="Обычный 6 2 2 9 6 2 3 2" xfId="12083"/>
    <cellStyle name="Обычный 6 2 2 9 6 2 4" xfId="12084"/>
    <cellStyle name="Обычный 6 2 2 9 6 3" xfId="4017"/>
    <cellStyle name="Обычный 6 2 2 9 6 3 2" xfId="9135"/>
    <cellStyle name="Обычный 6 2 2 9 6 3 2 2" xfId="12085"/>
    <cellStyle name="Обычный 6 2 2 9 6 3 3" xfId="12086"/>
    <cellStyle name="Обычный 6 2 2 9 6 4" xfId="7079"/>
    <cellStyle name="Обычный 6 2 2 9 6 4 2" xfId="12087"/>
    <cellStyle name="Обычный 6 2 2 9 6 5" xfId="12088"/>
    <cellStyle name="Обычный 6 2 2 9 7" xfId="1572"/>
    <cellStyle name="Обычный 6 2 2 9 7 2" xfId="2678"/>
    <cellStyle name="Обычный 6 2 2 9 7 2 2" xfId="5216"/>
    <cellStyle name="Обычный 6 2 2 9 7 2 2 2" xfId="10334"/>
    <cellStyle name="Обычный 6 2 2 9 7 2 2 2 2" xfId="12089"/>
    <cellStyle name="Обычный 6 2 2 9 7 2 2 3" xfId="12090"/>
    <cellStyle name="Обычный 6 2 2 9 7 2 3" xfId="8278"/>
    <cellStyle name="Обычный 6 2 2 9 7 2 3 2" xfId="12091"/>
    <cellStyle name="Обычный 6 2 2 9 7 2 4" xfId="12092"/>
    <cellStyle name="Обычный 6 2 2 9 7 3" xfId="4188"/>
    <cellStyle name="Обычный 6 2 2 9 7 3 2" xfId="9306"/>
    <cellStyle name="Обычный 6 2 2 9 7 3 2 2" xfId="12093"/>
    <cellStyle name="Обычный 6 2 2 9 7 3 3" xfId="12094"/>
    <cellStyle name="Обычный 6 2 2 9 7 4" xfId="7250"/>
    <cellStyle name="Обычный 6 2 2 9 7 4 2" xfId="12095"/>
    <cellStyle name="Обычный 6 2 2 9 7 5" xfId="12096"/>
    <cellStyle name="Обычный 6 2 2 9 8" xfId="2990"/>
    <cellStyle name="Обычный 6 2 3" xfId="234"/>
    <cellStyle name="Обычный 6 2 3 10" xfId="12097"/>
    <cellStyle name="Обычный 6 2 3 2" xfId="235"/>
    <cellStyle name="Обычный 6 2 3 2 2" xfId="236"/>
    <cellStyle name="Обычный 6 2 3 2 2 2" xfId="237"/>
    <cellStyle name="Обычный 6 2 3 2 2 2 2" xfId="238"/>
    <cellStyle name="Обычный 6 2 3 2 2 2 2 2" xfId="239"/>
    <cellStyle name="Обычный 6 2 3 2 2 2 2 2 2" xfId="689"/>
    <cellStyle name="Обычный 6 2 3 2 2 2 2 2 2 2" xfId="1817"/>
    <cellStyle name="Обычный 6 2 3 2 2 2 2 2 2 2 2" xfId="4360"/>
    <cellStyle name="Обычный 6 2 3 2 2 2 2 2 2 2 2 2" xfId="9478"/>
    <cellStyle name="Обычный 6 2 3 2 2 2 2 2 2 2 2 2 2" xfId="12098"/>
    <cellStyle name="Обычный 6 2 3 2 2 2 2 2 2 2 2 3" xfId="12099"/>
    <cellStyle name="Обычный 6 2 3 2 2 2 2 2 2 2 3" xfId="7422"/>
    <cellStyle name="Обычный 6 2 3 2 2 2 2 2 2 2 3 2" xfId="12100"/>
    <cellStyle name="Обычный 6 2 3 2 2 2 2 2 2 2 4" xfId="12101"/>
    <cellStyle name="Обычный 6 2 3 2 2 2 2 2 2 3" xfId="3332"/>
    <cellStyle name="Обычный 6 2 3 2 2 2 2 2 2 3 2" xfId="8450"/>
    <cellStyle name="Обычный 6 2 3 2 2 2 2 2 2 3 2 2" xfId="12102"/>
    <cellStyle name="Обычный 6 2 3 2 2 2 2 2 2 3 3" xfId="12103"/>
    <cellStyle name="Обычный 6 2 3 2 2 2 2 2 2 4" xfId="6394"/>
    <cellStyle name="Обычный 6 2 3 2 2 2 2 2 2 4 2" xfId="12104"/>
    <cellStyle name="Обычный 6 2 3 2 2 2 2 2 2 5" xfId="12105"/>
    <cellStyle name="Обычный 6 2 3 2 2 2 2 2 3" xfId="876"/>
    <cellStyle name="Обычный 6 2 3 2 2 2 2 2 3 2" xfId="1995"/>
    <cellStyle name="Обычный 6 2 3 2 2 2 2 2 3 2 2" xfId="4533"/>
    <cellStyle name="Обычный 6 2 3 2 2 2 2 2 3 2 2 2" xfId="9651"/>
    <cellStyle name="Обычный 6 2 3 2 2 2 2 2 3 2 2 2 2" xfId="12106"/>
    <cellStyle name="Обычный 6 2 3 2 2 2 2 2 3 2 2 3" xfId="12107"/>
    <cellStyle name="Обычный 6 2 3 2 2 2 2 2 3 2 3" xfId="7595"/>
    <cellStyle name="Обычный 6 2 3 2 2 2 2 2 3 2 3 2" xfId="12108"/>
    <cellStyle name="Обычный 6 2 3 2 2 2 2 2 3 2 4" xfId="12109"/>
    <cellStyle name="Обычный 6 2 3 2 2 2 2 2 3 3" xfId="3505"/>
    <cellStyle name="Обычный 6 2 3 2 2 2 2 2 3 3 2" xfId="8623"/>
    <cellStyle name="Обычный 6 2 3 2 2 2 2 2 3 3 2 2" xfId="12110"/>
    <cellStyle name="Обычный 6 2 3 2 2 2 2 2 3 3 3" xfId="12111"/>
    <cellStyle name="Обычный 6 2 3 2 2 2 2 2 3 4" xfId="6567"/>
    <cellStyle name="Обычный 6 2 3 2 2 2 2 2 3 4 2" xfId="12112"/>
    <cellStyle name="Обычный 6 2 3 2 2 2 2 2 3 5" xfId="12113"/>
    <cellStyle name="Обычный 6 2 3 2 2 2 2 2 4" xfId="1047"/>
    <cellStyle name="Обычный 6 2 3 2 2 2 2 2 4 2" xfId="2166"/>
    <cellStyle name="Обычный 6 2 3 2 2 2 2 2 4 2 2" xfId="4704"/>
    <cellStyle name="Обычный 6 2 3 2 2 2 2 2 4 2 2 2" xfId="9822"/>
    <cellStyle name="Обычный 6 2 3 2 2 2 2 2 4 2 2 2 2" xfId="12114"/>
    <cellStyle name="Обычный 6 2 3 2 2 2 2 2 4 2 2 3" xfId="12115"/>
    <cellStyle name="Обычный 6 2 3 2 2 2 2 2 4 2 3" xfId="7766"/>
    <cellStyle name="Обычный 6 2 3 2 2 2 2 2 4 2 3 2" xfId="12116"/>
    <cellStyle name="Обычный 6 2 3 2 2 2 2 2 4 2 4" xfId="12117"/>
    <cellStyle name="Обычный 6 2 3 2 2 2 2 2 4 3" xfId="3676"/>
    <cellStyle name="Обычный 6 2 3 2 2 2 2 2 4 3 2" xfId="8794"/>
    <cellStyle name="Обычный 6 2 3 2 2 2 2 2 4 3 2 2" xfId="12118"/>
    <cellStyle name="Обычный 6 2 3 2 2 2 2 2 4 3 3" xfId="12119"/>
    <cellStyle name="Обычный 6 2 3 2 2 2 2 2 4 4" xfId="6738"/>
    <cellStyle name="Обычный 6 2 3 2 2 2 2 2 4 4 2" xfId="12120"/>
    <cellStyle name="Обычный 6 2 3 2 2 2 2 2 4 5" xfId="12121"/>
    <cellStyle name="Обычный 6 2 3 2 2 2 2 2 5" xfId="1228"/>
    <cellStyle name="Обычный 6 2 3 2 2 2 2 2 5 2" xfId="2337"/>
    <cellStyle name="Обычный 6 2 3 2 2 2 2 2 5 2 2" xfId="4875"/>
    <cellStyle name="Обычный 6 2 3 2 2 2 2 2 5 2 2 2" xfId="9993"/>
    <cellStyle name="Обычный 6 2 3 2 2 2 2 2 5 2 2 2 2" xfId="12122"/>
    <cellStyle name="Обычный 6 2 3 2 2 2 2 2 5 2 2 3" xfId="12123"/>
    <cellStyle name="Обычный 6 2 3 2 2 2 2 2 5 2 3" xfId="7937"/>
    <cellStyle name="Обычный 6 2 3 2 2 2 2 2 5 2 3 2" xfId="12124"/>
    <cellStyle name="Обычный 6 2 3 2 2 2 2 2 5 2 4" xfId="12125"/>
    <cellStyle name="Обычный 6 2 3 2 2 2 2 2 5 3" xfId="3847"/>
    <cellStyle name="Обычный 6 2 3 2 2 2 2 2 5 3 2" xfId="8965"/>
    <cellStyle name="Обычный 6 2 3 2 2 2 2 2 5 3 2 2" xfId="12126"/>
    <cellStyle name="Обычный 6 2 3 2 2 2 2 2 5 3 3" xfId="12127"/>
    <cellStyle name="Обычный 6 2 3 2 2 2 2 2 5 4" xfId="6909"/>
    <cellStyle name="Обычный 6 2 3 2 2 2 2 2 5 4 2" xfId="12128"/>
    <cellStyle name="Обычный 6 2 3 2 2 2 2 2 5 5" xfId="12129"/>
    <cellStyle name="Обычный 6 2 3 2 2 2 2 2 6" xfId="1402"/>
    <cellStyle name="Обычный 6 2 3 2 2 2 2 2 6 2" xfId="2508"/>
    <cellStyle name="Обычный 6 2 3 2 2 2 2 2 6 2 2" xfId="5046"/>
    <cellStyle name="Обычный 6 2 3 2 2 2 2 2 6 2 2 2" xfId="10164"/>
    <cellStyle name="Обычный 6 2 3 2 2 2 2 2 6 2 2 2 2" xfId="12130"/>
    <cellStyle name="Обычный 6 2 3 2 2 2 2 2 6 2 2 3" xfId="12131"/>
    <cellStyle name="Обычный 6 2 3 2 2 2 2 2 6 2 3" xfId="8108"/>
    <cellStyle name="Обычный 6 2 3 2 2 2 2 2 6 2 3 2" xfId="12132"/>
    <cellStyle name="Обычный 6 2 3 2 2 2 2 2 6 2 4" xfId="12133"/>
    <cellStyle name="Обычный 6 2 3 2 2 2 2 2 6 3" xfId="4018"/>
    <cellStyle name="Обычный 6 2 3 2 2 2 2 2 6 3 2" xfId="9136"/>
    <cellStyle name="Обычный 6 2 3 2 2 2 2 2 6 3 2 2" xfId="12134"/>
    <cellStyle name="Обычный 6 2 3 2 2 2 2 2 6 3 3" xfId="12135"/>
    <cellStyle name="Обычный 6 2 3 2 2 2 2 2 6 4" xfId="7080"/>
    <cellStyle name="Обычный 6 2 3 2 2 2 2 2 6 4 2" xfId="12136"/>
    <cellStyle name="Обычный 6 2 3 2 2 2 2 2 6 5" xfId="12137"/>
    <cellStyle name="Обычный 6 2 3 2 2 2 2 2 7" xfId="1573"/>
    <cellStyle name="Обычный 6 2 3 2 2 2 2 2 7 2" xfId="2679"/>
    <cellStyle name="Обычный 6 2 3 2 2 2 2 2 7 2 2" xfId="5217"/>
    <cellStyle name="Обычный 6 2 3 2 2 2 2 2 7 2 2 2" xfId="10335"/>
    <cellStyle name="Обычный 6 2 3 2 2 2 2 2 7 2 2 2 2" xfId="12138"/>
    <cellStyle name="Обычный 6 2 3 2 2 2 2 2 7 2 2 3" xfId="12139"/>
    <cellStyle name="Обычный 6 2 3 2 2 2 2 2 7 2 3" xfId="8279"/>
    <cellStyle name="Обычный 6 2 3 2 2 2 2 2 7 2 3 2" xfId="12140"/>
    <cellStyle name="Обычный 6 2 3 2 2 2 2 2 7 2 4" xfId="12141"/>
    <cellStyle name="Обычный 6 2 3 2 2 2 2 2 7 3" xfId="4189"/>
    <cellStyle name="Обычный 6 2 3 2 2 2 2 2 7 3 2" xfId="9307"/>
    <cellStyle name="Обычный 6 2 3 2 2 2 2 2 7 3 2 2" xfId="12142"/>
    <cellStyle name="Обычный 6 2 3 2 2 2 2 2 7 3 3" xfId="12143"/>
    <cellStyle name="Обычный 6 2 3 2 2 2 2 2 7 4" xfId="7251"/>
    <cellStyle name="Обычный 6 2 3 2 2 2 2 2 7 4 2" xfId="12144"/>
    <cellStyle name="Обычный 6 2 3 2 2 2 2 2 7 5" xfId="12145"/>
    <cellStyle name="Обычный 6 2 3 2 2 2 2 2 8" xfId="2991"/>
    <cellStyle name="Обычный 6 2 3 2 2 2 3" xfId="240"/>
    <cellStyle name="Обычный 6 2 3 2 2 2 3 2" xfId="241"/>
    <cellStyle name="Обычный 6 2 3 2 2 2 3 2 2" xfId="690"/>
    <cellStyle name="Обычный 6 2 3 2 2 2 3 2 2 2" xfId="1818"/>
    <cellStyle name="Обычный 6 2 3 2 2 2 3 2 2 2 2" xfId="4361"/>
    <cellStyle name="Обычный 6 2 3 2 2 2 3 2 2 2 2 2" xfId="9479"/>
    <cellStyle name="Обычный 6 2 3 2 2 2 3 2 2 2 2 2 2" xfId="12146"/>
    <cellStyle name="Обычный 6 2 3 2 2 2 3 2 2 2 2 3" xfId="12147"/>
    <cellStyle name="Обычный 6 2 3 2 2 2 3 2 2 2 3" xfId="7423"/>
    <cellStyle name="Обычный 6 2 3 2 2 2 3 2 2 2 3 2" xfId="12148"/>
    <cellStyle name="Обычный 6 2 3 2 2 2 3 2 2 2 4" xfId="12149"/>
    <cellStyle name="Обычный 6 2 3 2 2 2 3 2 2 3" xfId="3333"/>
    <cellStyle name="Обычный 6 2 3 2 2 2 3 2 2 3 2" xfId="8451"/>
    <cellStyle name="Обычный 6 2 3 2 2 2 3 2 2 3 2 2" xfId="12150"/>
    <cellStyle name="Обычный 6 2 3 2 2 2 3 2 2 3 3" xfId="12151"/>
    <cellStyle name="Обычный 6 2 3 2 2 2 3 2 2 4" xfId="6395"/>
    <cellStyle name="Обычный 6 2 3 2 2 2 3 2 2 4 2" xfId="12152"/>
    <cellStyle name="Обычный 6 2 3 2 2 2 3 2 2 5" xfId="12153"/>
    <cellStyle name="Обычный 6 2 3 2 2 2 3 2 3" xfId="877"/>
    <cellStyle name="Обычный 6 2 3 2 2 2 3 2 3 2" xfId="1996"/>
    <cellStyle name="Обычный 6 2 3 2 2 2 3 2 3 2 2" xfId="4534"/>
    <cellStyle name="Обычный 6 2 3 2 2 2 3 2 3 2 2 2" xfId="9652"/>
    <cellStyle name="Обычный 6 2 3 2 2 2 3 2 3 2 2 2 2" xfId="12154"/>
    <cellStyle name="Обычный 6 2 3 2 2 2 3 2 3 2 2 3" xfId="12155"/>
    <cellStyle name="Обычный 6 2 3 2 2 2 3 2 3 2 3" xfId="7596"/>
    <cellStyle name="Обычный 6 2 3 2 2 2 3 2 3 2 3 2" xfId="12156"/>
    <cellStyle name="Обычный 6 2 3 2 2 2 3 2 3 2 4" xfId="12157"/>
    <cellStyle name="Обычный 6 2 3 2 2 2 3 2 3 3" xfId="3506"/>
    <cellStyle name="Обычный 6 2 3 2 2 2 3 2 3 3 2" xfId="8624"/>
    <cellStyle name="Обычный 6 2 3 2 2 2 3 2 3 3 2 2" xfId="12158"/>
    <cellStyle name="Обычный 6 2 3 2 2 2 3 2 3 3 3" xfId="12159"/>
    <cellStyle name="Обычный 6 2 3 2 2 2 3 2 3 4" xfId="6568"/>
    <cellStyle name="Обычный 6 2 3 2 2 2 3 2 3 4 2" xfId="12160"/>
    <cellStyle name="Обычный 6 2 3 2 2 2 3 2 3 5" xfId="12161"/>
    <cellStyle name="Обычный 6 2 3 2 2 2 3 2 4" xfId="1048"/>
    <cellStyle name="Обычный 6 2 3 2 2 2 3 2 4 2" xfId="2167"/>
    <cellStyle name="Обычный 6 2 3 2 2 2 3 2 4 2 2" xfId="4705"/>
    <cellStyle name="Обычный 6 2 3 2 2 2 3 2 4 2 2 2" xfId="9823"/>
    <cellStyle name="Обычный 6 2 3 2 2 2 3 2 4 2 2 2 2" xfId="12162"/>
    <cellStyle name="Обычный 6 2 3 2 2 2 3 2 4 2 2 3" xfId="12163"/>
    <cellStyle name="Обычный 6 2 3 2 2 2 3 2 4 2 3" xfId="7767"/>
    <cellStyle name="Обычный 6 2 3 2 2 2 3 2 4 2 3 2" xfId="12164"/>
    <cellStyle name="Обычный 6 2 3 2 2 2 3 2 4 2 4" xfId="12165"/>
    <cellStyle name="Обычный 6 2 3 2 2 2 3 2 4 3" xfId="3677"/>
    <cellStyle name="Обычный 6 2 3 2 2 2 3 2 4 3 2" xfId="8795"/>
    <cellStyle name="Обычный 6 2 3 2 2 2 3 2 4 3 2 2" xfId="12166"/>
    <cellStyle name="Обычный 6 2 3 2 2 2 3 2 4 3 3" xfId="12167"/>
    <cellStyle name="Обычный 6 2 3 2 2 2 3 2 4 4" xfId="6739"/>
    <cellStyle name="Обычный 6 2 3 2 2 2 3 2 4 4 2" xfId="12168"/>
    <cellStyle name="Обычный 6 2 3 2 2 2 3 2 4 5" xfId="12169"/>
    <cellStyle name="Обычный 6 2 3 2 2 2 3 2 5" xfId="1229"/>
    <cellStyle name="Обычный 6 2 3 2 2 2 3 2 5 2" xfId="2338"/>
    <cellStyle name="Обычный 6 2 3 2 2 2 3 2 5 2 2" xfId="4876"/>
    <cellStyle name="Обычный 6 2 3 2 2 2 3 2 5 2 2 2" xfId="9994"/>
    <cellStyle name="Обычный 6 2 3 2 2 2 3 2 5 2 2 2 2" xfId="12170"/>
    <cellStyle name="Обычный 6 2 3 2 2 2 3 2 5 2 2 3" xfId="12171"/>
    <cellStyle name="Обычный 6 2 3 2 2 2 3 2 5 2 3" xfId="7938"/>
    <cellStyle name="Обычный 6 2 3 2 2 2 3 2 5 2 3 2" xfId="12172"/>
    <cellStyle name="Обычный 6 2 3 2 2 2 3 2 5 2 4" xfId="12173"/>
    <cellStyle name="Обычный 6 2 3 2 2 2 3 2 5 3" xfId="3848"/>
    <cellStyle name="Обычный 6 2 3 2 2 2 3 2 5 3 2" xfId="8966"/>
    <cellStyle name="Обычный 6 2 3 2 2 2 3 2 5 3 2 2" xfId="12174"/>
    <cellStyle name="Обычный 6 2 3 2 2 2 3 2 5 3 3" xfId="12175"/>
    <cellStyle name="Обычный 6 2 3 2 2 2 3 2 5 4" xfId="6910"/>
    <cellStyle name="Обычный 6 2 3 2 2 2 3 2 5 4 2" xfId="12176"/>
    <cellStyle name="Обычный 6 2 3 2 2 2 3 2 5 5" xfId="12177"/>
    <cellStyle name="Обычный 6 2 3 2 2 2 3 2 6" xfId="1403"/>
    <cellStyle name="Обычный 6 2 3 2 2 2 3 2 6 2" xfId="2509"/>
    <cellStyle name="Обычный 6 2 3 2 2 2 3 2 6 2 2" xfId="5047"/>
    <cellStyle name="Обычный 6 2 3 2 2 2 3 2 6 2 2 2" xfId="10165"/>
    <cellStyle name="Обычный 6 2 3 2 2 2 3 2 6 2 2 2 2" xfId="12178"/>
    <cellStyle name="Обычный 6 2 3 2 2 2 3 2 6 2 2 3" xfId="12179"/>
    <cellStyle name="Обычный 6 2 3 2 2 2 3 2 6 2 3" xfId="8109"/>
    <cellStyle name="Обычный 6 2 3 2 2 2 3 2 6 2 3 2" xfId="12180"/>
    <cellStyle name="Обычный 6 2 3 2 2 2 3 2 6 2 4" xfId="12181"/>
    <cellStyle name="Обычный 6 2 3 2 2 2 3 2 6 3" xfId="4019"/>
    <cellStyle name="Обычный 6 2 3 2 2 2 3 2 6 3 2" xfId="9137"/>
    <cellStyle name="Обычный 6 2 3 2 2 2 3 2 6 3 2 2" xfId="12182"/>
    <cellStyle name="Обычный 6 2 3 2 2 2 3 2 6 3 3" xfId="12183"/>
    <cellStyle name="Обычный 6 2 3 2 2 2 3 2 6 4" xfId="7081"/>
    <cellStyle name="Обычный 6 2 3 2 2 2 3 2 6 4 2" xfId="12184"/>
    <cellStyle name="Обычный 6 2 3 2 2 2 3 2 6 5" xfId="12185"/>
    <cellStyle name="Обычный 6 2 3 2 2 2 3 2 7" xfId="1574"/>
    <cellStyle name="Обычный 6 2 3 2 2 2 3 2 7 2" xfId="2680"/>
    <cellStyle name="Обычный 6 2 3 2 2 2 3 2 7 2 2" xfId="5218"/>
    <cellStyle name="Обычный 6 2 3 2 2 2 3 2 7 2 2 2" xfId="10336"/>
    <cellStyle name="Обычный 6 2 3 2 2 2 3 2 7 2 2 2 2" xfId="12186"/>
    <cellStyle name="Обычный 6 2 3 2 2 2 3 2 7 2 2 3" xfId="12187"/>
    <cellStyle name="Обычный 6 2 3 2 2 2 3 2 7 2 3" xfId="8280"/>
    <cellStyle name="Обычный 6 2 3 2 2 2 3 2 7 2 3 2" xfId="12188"/>
    <cellStyle name="Обычный 6 2 3 2 2 2 3 2 7 2 4" xfId="12189"/>
    <cellStyle name="Обычный 6 2 3 2 2 2 3 2 7 3" xfId="4190"/>
    <cellStyle name="Обычный 6 2 3 2 2 2 3 2 7 3 2" xfId="9308"/>
    <cellStyle name="Обычный 6 2 3 2 2 2 3 2 7 3 2 2" xfId="12190"/>
    <cellStyle name="Обычный 6 2 3 2 2 2 3 2 7 3 3" xfId="12191"/>
    <cellStyle name="Обычный 6 2 3 2 2 2 3 2 7 4" xfId="7252"/>
    <cellStyle name="Обычный 6 2 3 2 2 2 3 2 7 4 2" xfId="12192"/>
    <cellStyle name="Обычный 6 2 3 2 2 2 3 2 7 5" xfId="12193"/>
    <cellStyle name="Обычный 6 2 3 2 2 2 3 2 8" xfId="2992"/>
    <cellStyle name="Обычный 6 2 3 2 2 2 4" xfId="242"/>
    <cellStyle name="Обычный 6 2 3 2 2 2 4 2" xfId="691"/>
    <cellStyle name="Обычный 6 2 3 2 2 2 4 2 2" xfId="1819"/>
    <cellStyle name="Обычный 6 2 3 2 2 2 4 2 2 2" xfId="4362"/>
    <cellStyle name="Обычный 6 2 3 2 2 2 4 2 2 2 2" xfId="9480"/>
    <cellStyle name="Обычный 6 2 3 2 2 2 4 2 2 2 2 2" xfId="12194"/>
    <cellStyle name="Обычный 6 2 3 2 2 2 4 2 2 2 3" xfId="12195"/>
    <cellStyle name="Обычный 6 2 3 2 2 2 4 2 2 3" xfId="7424"/>
    <cellStyle name="Обычный 6 2 3 2 2 2 4 2 2 3 2" xfId="12196"/>
    <cellStyle name="Обычный 6 2 3 2 2 2 4 2 2 4" xfId="12197"/>
    <cellStyle name="Обычный 6 2 3 2 2 2 4 2 3" xfId="3334"/>
    <cellStyle name="Обычный 6 2 3 2 2 2 4 2 3 2" xfId="8452"/>
    <cellStyle name="Обычный 6 2 3 2 2 2 4 2 3 2 2" xfId="12198"/>
    <cellStyle name="Обычный 6 2 3 2 2 2 4 2 3 3" xfId="12199"/>
    <cellStyle name="Обычный 6 2 3 2 2 2 4 2 4" xfId="6396"/>
    <cellStyle name="Обычный 6 2 3 2 2 2 4 2 4 2" xfId="12200"/>
    <cellStyle name="Обычный 6 2 3 2 2 2 4 2 5" xfId="12201"/>
    <cellStyle name="Обычный 6 2 3 2 2 2 4 3" xfId="878"/>
    <cellStyle name="Обычный 6 2 3 2 2 2 4 3 2" xfId="1997"/>
    <cellStyle name="Обычный 6 2 3 2 2 2 4 3 2 2" xfId="4535"/>
    <cellStyle name="Обычный 6 2 3 2 2 2 4 3 2 2 2" xfId="9653"/>
    <cellStyle name="Обычный 6 2 3 2 2 2 4 3 2 2 2 2" xfId="12202"/>
    <cellStyle name="Обычный 6 2 3 2 2 2 4 3 2 2 3" xfId="12203"/>
    <cellStyle name="Обычный 6 2 3 2 2 2 4 3 2 3" xfId="7597"/>
    <cellStyle name="Обычный 6 2 3 2 2 2 4 3 2 3 2" xfId="12204"/>
    <cellStyle name="Обычный 6 2 3 2 2 2 4 3 2 4" xfId="12205"/>
    <cellStyle name="Обычный 6 2 3 2 2 2 4 3 3" xfId="3507"/>
    <cellStyle name="Обычный 6 2 3 2 2 2 4 3 3 2" xfId="8625"/>
    <cellStyle name="Обычный 6 2 3 2 2 2 4 3 3 2 2" xfId="12206"/>
    <cellStyle name="Обычный 6 2 3 2 2 2 4 3 3 3" xfId="12207"/>
    <cellStyle name="Обычный 6 2 3 2 2 2 4 3 4" xfId="6569"/>
    <cellStyle name="Обычный 6 2 3 2 2 2 4 3 4 2" xfId="12208"/>
    <cellStyle name="Обычный 6 2 3 2 2 2 4 3 5" xfId="12209"/>
    <cellStyle name="Обычный 6 2 3 2 2 2 4 4" xfId="1049"/>
    <cellStyle name="Обычный 6 2 3 2 2 2 4 4 2" xfId="2168"/>
    <cellStyle name="Обычный 6 2 3 2 2 2 4 4 2 2" xfId="4706"/>
    <cellStyle name="Обычный 6 2 3 2 2 2 4 4 2 2 2" xfId="9824"/>
    <cellStyle name="Обычный 6 2 3 2 2 2 4 4 2 2 2 2" xfId="12210"/>
    <cellStyle name="Обычный 6 2 3 2 2 2 4 4 2 2 3" xfId="12211"/>
    <cellStyle name="Обычный 6 2 3 2 2 2 4 4 2 3" xfId="7768"/>
    <cellStyle name="Обычный 6 2 3 2 2 2 4 4 2 3 2" xfId="12212"/>
    <cellStyle name="Обычный 6 2 3 2 2 2 4 4 2 4" xfId="12213"/>
    <cellStyle name="Обычный 6 2 3 2 2 2 4 4 3" xfId="3678"/>
    <cellStyle name="Обычный 6 2 3 2 2 2 4 4 3 2" xfId="8796"/>
    <cellStyle name="Обычный 6 2 3 2 2 2 4 4 3 2 2" xfId="12214"/>
    <cellStyle name="Обычный 6 2 3 2 2 2 4 4 3 3" xfId="12215"/>
    <cellStyle name="Обычный 6 2 3 2 2 2 4 4 4" xfId="6740"/>
    <cellStyle name="Обычный 6 2 3 2 2 2 4 4 4 2" xfId="12216"/>
    <cellStyle name="Обычный 6 2 3 2 2 2 4 4 5" xfId="12217"/>
    <cellStyle name="Обычный 6 2 3 2 2 2 4 5" xfId="1230"/>
    <cellStyle name="Обычный 6 2 3 2 2 2 4 5 2" xfId="2339"/>
    <cellStyle name="Обычный 6 2 3 2 2 2 4 5 2 2" xfId="4877"/>
    <cellStyle name="Обычный 6 2 3 2 2 2 4 5 2 2 2" xfId="9995"/>
    <cellStyle name="Обычный 6 2 3 2 2 2 4 5 2 2 2 2" xfId="12218"/>
    <cellStyle name="Обычный 6 2 3 2 2 2 4 5 2 2 3" xfId="12219"/>
    <cellStyle name="Обычный 6 2 3 2 2 2 4 5 2 3" xfId="7939"/>
    <cellStyle name="Обычный 6 2 3 2 2 2 4 5 2 3 2" xfId="12220"/>
    <cellStyle name="Обычный 6 2 3 2 2 2 4 5 2 4" xfId="12221"/>
    <cellStyle name="Обычный 6 2 3 2 2 2 4 5 3" xfId="3849"/>
    <cellStyle name="Обычный 6 2 3 2 2 2 4 5 3 2" xfId="8967"/>
    <cellStyle name="Обычный 6 2 3 2 2 2 4 5 3 2 2" xfId="12222"/>
    <cellStyle name="Обычный 6 2 3 2 2 2 4 5 3 3" xfId="12223"/>
    <cellStyle name="Обычный 6 2 3 2 2 2 4 5 4" xfId="6911"/>
    <cellStyle name="Обычный 6 2 3 2 2 2 4 5 4 2" xfId="12224"/>
    <cellStyle name="Обычный 6 2 3 2 2 2 4 5 5" xfId="12225"/>
    <cellStyle name="Обычный 6 2 3 2 2 2 4 6" xfId="1404"/>
    <cellStyle name="Обычный 6 2 3 2 2 2 4 6 2" xfId="2510"/>
    <cellStyle name="Обычный 6 2 3 2 2 2 4 6 2 2" xfId="5048"/>
    <cellStyle name="Обычный 6 2 3 2 2 2 4 6 2 2 2" xfId="10166"/>
    <cellStyle name="Обычный 6 2 3 2 2 2 4 6 2 2 2 2" xfId="12226"/>
    <cellStyle name="Обычный 6 2 3 2 2 2 4 6 2 2 3" xfId="12227"/>
    <cellStyle name="Обычный 6 2 3 2 2 2 4 6 2 3" xfId="8110"/>
    <cellStyle name="Обычный 6 2 3 2 2 2 4 6 2 3 2" xfId="12228"/>
    <cellStyle name="Обычный 6 2 3 2 2 2 4 6 2 4" xfId="12229"/>
    <cellStyle name="Обычный 6 2 3 2 2 2 4 6 3" xfId="4020"/>
    <cellStyle name="Обычный 6 2 3 2 2 2 4 6 3 2" xfId="9138"/>
    <cellStyle name="Обычный 6 2 3 2 2 2 4 6 3 2 2" xfId="12230"/>
    <cellStyle name="Обычный 6 2 3 2 2 2 4 6 3 3" xfId="12231"/>
    <cellStyle name="Обычный 6 2 3 2 2 2 4 6 4" xfId="7082"/>
    <cellStyle name="Обычный 6 2 3 2 2 2 4 6 4 2" xfId="12232"/>
    <cellStyle name="Обычный 6 2 3 2 2 2 4 6 5" xfId="12233"/>
    <cellStyle name="Обычный 6 2 3 2 2 2 4 7" xfId="1575"/>
    <cellStyle name="Обычный 6 2 3 2 2 2 4 7 2" xfId="2681"/>
    <cellStyle name="Обычный 6 2 3 2 2 2 4 7 2 2" xfId="5219"/>
    <cellStyle name="Обычный 6 2 3 2 2 2 4 7 2 2 2" xfId="10337"/>
    <cellStyle name="Обычный 6 2 3 2 2 2 4 7 2 2 2 2" xfId="12234"/>
    <cellStyle name="Обычный 6 2 3 2 2 2 4 7 2 2 3" xfId="12235"/>
    <cellStyle name="Обычный 6 2 3 2 2 2 4 7 2 3" xfId="8281"/>
    <cellStyle name="Обычный 6 2 3 2 2 2 4 7 2 3 2" xfId="12236"/>
    <cellStyle name="Обычный 6 2 3 2 2 2 4 7 2 4" xfId="12237"/>
    <cellStyle name="Обычный 6 2 3 2 2 2 4 7 3" xfId="4191"/>
    <cellStyle name="Обычный 6 2 3 2 2 2 4 7 3 2" xfId="9309"/>
    <cellStyle name="Обычный 6 2 3 2 2 2 4 7 3 2 2" xfId="12238"/>
    <cellStyle name="Обычный 6 2 3 2 2 2 4 7 3 3" xfId="12239"/>
    <cellStyle name="Обычный 6 2 3 2 2 2 4 7 4" xfId="7253"/>
    <cellStyle name="Обычный 6 2 3 2 2 2 4 7 4 2" xfId="12240"/>
    <cellStyle name="Обычный 6 2 3 2 2 2 4 7 5" xfId="12241"/>
    <cellStyle name="Обычный 6 2 3 2 2 2 4 8" xfId="2993"/>
    <cellStyle name="Обычный 6 2 3 2 2 3" xfId="243"/>
    <cellStyle name="Обычный 6 2 3 2 2 3 2" xfId="244"/>
    <cellStyle name="Обычный 6 2 3 2 2 3 2 2" xfId="692"/>
    <cellStyle name="Обычный 6 2 3 2 2 3 2 2 2" xfId="1820"/>
    <cellStyle name="Обычный 6 2 3 2 2 3 2 2 2 2" xfId="4363"/>
    <cellStyle name="Обычный 6 2 3 2 2 3 2 2 2 2 2" xfId="9481"/>
    <cellStyle name="Обычный 6 2 3 2 2 3 2 2 2 2 2 2" xfId="12242"/>
    <cellStyle name="Обычный 6 2 3 2 2 3 2 2 2 2 3" xfId="12243"/>
    <cellStyle name="Обычный 6 2 3 2 2 3 2 2 2 3" xfId="7425"/>
    <cellStyle name="Обычный 6 2 3 2 2 3 2 2 2 3 2" xfId="12244"/>
    <cellStyle name="Обычный 6 2 3 2 2 3 2 2 2 4" xfId="12245"/>
    <cellStyle name="Обычный 6 2 3 2 2 3 2 2 3" xfId="3335"/>
    <cellStyle name="Обычный 6 2 3 2 2 3 2 2 3 2" xfId="8453"/>
    <cellStyle name="Обычный 6 2 3 2 2 3 2 2 3 2 2" xfId="12246"/>
    <cellStyle name="Обычный 6 2 3 2 2 3 2 2 3 3" xfId="12247"/>
    <cellStyle name="Обычный 6 2 3 2 2 3 2 2 4" xfId="6397"/>
    <cellStyle name="Обычный 6 2 3 2 2 3 2 2 4 2" xfId="12248"/>
    <cellStyle name="Обычный 6 2 3 2 2 3 2 2 5" xfId="12249"/>
    <cellStyle name="Обычный 6 2 3 2 2 3 2 3" xfId="879"/>
    <cellStyle name="Обычный 6 2 3 2 2 3 2 3 2" xfId="1998"/>
    <cellStyle name="Обычный 6 2 3 2 2 3 2 3 2 2" xfId="4536"/>
    <cellStyle name="Обычный 6 2 3 2 2 3 2 3 2 2 2" xfId="9654"/>
    <cellStyle name="Обычный 6 2 3 2 2 3 2 3 2 2 2 2" xfId="12250"/>
    <cellStyle name="Обычный 6 2 3 2 2 3 2 3 2 2 3" xfId="12251"/>
    <cellStyle name="Обычный 6 2 3 2 2 3 2 3 2 3" xfId="7598"/>
    <cellStyle name="Обычный 6 2 3 2 2 3 2 3 2 3 2" xfId="12252"/>
    <cellStyle name="Обычный 6 2 3 2 2 3 2 3 2 4" xfId="12253"/>
    <cellStyle name="Обычный 6 2 3 2 2 3 2 3 3" xfId="3508"/>
    <cellStyle name="Обычный 6 2 3 2 2 3 2 3 3 2" xfId="8626"/>
    <cellStyle name="Обычный 6 2 3 2 2 3 2 3 3 2 2" xfId="12254"/>
    <cellStyle name="Обычный 6 2 3 2 2 3 2 3 3 3" xfId="12255"/>
    <cellStyle name="Обычный 6 2 3 2 2 3 2 3 4" xfId="6570"/>
    <cellStyle name="Обычный 6 2 3 2 2 3 2 3 4 2" xfId="12256"/>
    <cellStyle name="Обычный 6 2 3 2 2 3 2 3 5" xfId="12257"/>
    <cellStyle name="Обычный 6 2 3 2 2 3 2 4" xfId="1050"/>
    <cellStyle name="Обычный 6 2 3 2 2 3 2 4 2" xfId="2169"/>
    <cellStyle name="Обычный 6 2 3 2 2 3 2 4 2 2" xfId="4707"/>
    <cellStyle name="Обычный 6 2 3 2 2 3 2 4 2 2 2" xfId="9825"/>
    <cellStyle name="Обычный 6 2 3 2 2 3 2 4 2 2 2 2" xfId="12258"/>
    <cellStyle name="Обычный 6 2 3 2 2 3 2 4 2 2 3" xfId="12259"/>
    <cellStyle name="Обычный 6 2 3 2 2 3 2 4 2 3" xfId="7769"/>
    <cellStyle name="Обычный 6 2 3 2 2 3 2 4 2 3 2" xfId="12260"/>
    <cellStyle name="Обычный 6 2 3 2 2 3 2 4 2 4" xfId="12261"/>
    <cellStyle name="Обычный 6 2 3 2 2 3 2 4 3" xfId="3679"/>
    <cellStyle name="Обычный 6 2 3 2 2 3 2 4 3 2" xfId="8797"/>
    <cellStyle name="Обычный 6 2 3 2 2 3 2 4 3 2 2" xfId="12262"/>
    <cellStyle name="Обычный 6 2 3 2 2 3 2 4 3 3" xfId="12263"/>
    <cellStyle name="Обычный 6 2 3 2 2 3 2 4 4" xfId="6741"/>
    <cellStyle name="Обычный 6 2 3 2 2 3 2 4 4 2" xfId="12264"/>
    <cellStyle name="Обычный 6 2 3 2 2 3 2 4 5" xfId="12265"/>
    <cellStyle name="Обычный 6 2 3 2 2 3 2 5" xfId="1231"/>
    <cellStyle name="Обычный 6 2 3 2 2 3 2 5 2" xfId="2340"/>
    <cellStyle name="Обычный 6 2 3 2 2 3 2 5 2 2" xfId="4878"/>
    <cellStyle name="Обычный 6 2 3 2 2 3 2 5 2 2 2" xfId="9996"/>
    <cellStyle name="Обычный 6 2 3 2 2 3 2 5 2 2 2 2" xfId="12266"/>
    <cellStyle name="Обычный 6 2 3 2 2 3 2 5 2 2 3" xfId="12267"/>
    <cellStyle name="Обычный 6 2 3 2 2 3 2 5 2 3" xfId="7940"/>
    <cellStyle name="Обычный 6 2 3 2 2 3 2 5 2 3 2" xfId="12268"/>
    <cellStyle name="Обычный 6 2 3 2 2 3 2 5 2 4" xfId="12269"/>
    <cellStyle name="Обычный 6 2 3 2 2 3 2 5 3" xfId="3850"/>
    <cellStyle name="Обычный 6 2 3 2 2 3 2 5 3 2" xfId="8968"/>
    <cellStyle name="Обычный 6 2 3 2 2 3 2 5 3 2 2" xfId="12270"/>
    <cellStyle name="Обычный 6 2 3 2 2 3 2 5 3 3" xfId="12271"/>
    <cellStyle name="Обычный 6 2 3 2 2 3 2 5 4" xfId="6912"/>
    <cellStyle name="Обычный 6 2 3 2 2 3 2 5 4 2" xfId="12272"/>
    <cellStyle name="Обычный 6 2 3 2 2 3 2 5 5" xfId="12273"/>
    <cellStyle name="Обычный 6 2 3 2 2 3 2 6" xfId="1405"/>
    <cellStyle name="Обычный 6 2 3 2 2 3 2 6 2" xfId="2511"/>
    <cellStyle name="Обычный 6 2 3 2 2 3 2 6 2 2" xfId="5049"/>
    <cellStyle name="Обычный 6 2 3 2 2 3 2 6 2 2 2" xfId="10167"/>
    <cellStyle name="Обычный 6 2 3 2 2 3 2 6 2 2 2 2" xfId="12274"/>
    <cellStyle name="Обычный 6 2 3 2 2 3 2 6 2 2 3" xfId="12275"/>
    <cellStyle name="Обычный 6 2 3 2 2 3 2 6 2 3" xfId="8111"/>
    <cellStyle name="Обычный 6 2 3 2 2 3 2 6 2 3 2" xfId="12276"/>
    <cellStyle name="Обычный 6 2 3 2 2 3 2 6 2 4" xfId="12277"/>
    <cellStyle name="Обычный 6 2 3 2 2 3 2 6 3" xfId="4021"/>
    <cellStyle name="Обычный 6 2 3 2 2 3 2 6 3 2" xfId="9139"/>
    <cellStyle name="Обычный 6 2 3 2 2 3 2 6 3 2 2" xfId="12278"/>
    <cellStyle name="Обычный 6 2 3 2 2 3 2 6 3 3" xfId="12279"/>
    <cellStyle name="Обычный 6 2 3 2 2 3 2 6 4" xfId="7083"/>
    <cellStyle name="Обычный 6 2 3 2 2 3 2 6 4 2" xfId="12280"/>
    <cellStyle name="Обычный 6 2 3 2 2 3 2 6 5" xfId="12281"/>
    <cellStyle name="Обычный 6 2 3 2 2 3 2 7" xfId="1576"/>
    <cellStyle name="Обычный 6 2 3 2 2 3 2 7 2" xfId="2682"/>
    <cellStyle name="Обычный 6 2 3 2 2 3 2 7 2 2" xfId="5220"/>
    <cellStyle name="Обычный 6 2 3 2 2 3 2 7 2 2 2" xfId="10338"/>
    <cellStyle name="Обычный 6 2 3 2 2 3 2 7 2 2 2 2" xfId="12282"/>
    <cellStyle name="Обычный 6 2 3 2 2 3 2 7 2 2 3" xfId="12283"/>
    <cellStyle name="Обычный 6 2 3 2 2 3 2 7 2 3" xfId="8282"/>
    <cellStyle name="Обычный 6 2 3 2 2 3 2 7 2 3 2" xfId="12284"/>
    <cellStyle name="Обычный 6 2 3 2 2 3 2 7 2 4" xfId="12285"/>
    <cellStyle name="Обычный 6 2 3 2 2 3 2 7 3" xfId="4192"/>
    <cellStyle name="Обычный 6 2 3 2 2 3 2 7 3 2" xfId="9310"/>
    <cellStyle name="Обычный 6 2 3 2 2 3 2 7 3 2 2" xfId="12286"/>
    <cellStyle name="Обычный 6 2 3 2 2 3 2 7 3 3" xfId="12287"/>
    <cellStyle name="Обычный 6 2 3 2 2 3 2 7 4" xfId="7254"/>
    <cellStyle name="Обычный 6 2 3 2 2 3 2 7 4 2" xfId="12288"/>
    <cellStyle name="Обычный 6 2 3 2 2 3 2 7 5" xfId="12289"/>
    <cellStyle name="Обычный 6 2 3 2 2 3 2 8" xfId="2994"/>
    <cellStyle name="Обычный 6 2 3 2 2 4" xfId="245"/>
    <cellStyle name="Обычный 6 2 3 2 2 4 2" xfId="246"/>
    <cellStyle name="Обычный 6 2 3 2 2 4 2 2" xfId="693"/>
    <cellStyle name="Обычный 6 2 3 2 2 4 2 2 2" xfId="1821"/>
    <cellStyle name="Обычный 6 2 3 2 2 4 2 2 2 2" xfId="4364"/>
    <cellStyle name="Обычный 6 2 3 2 2 4 2 2 2 2 2" xfId="9482"/>
    <cellStyle name="Обычный 6 2 3 2 2 4 2 2 2 2 2 2" xfId="12290"/>
    <cellStyle name="Обычный 6 2 3 2 2 4 2 2 2 2 3" xfId="12291"/>
    <cellStyle name="Обычный 6 2 3 2 2 4 2 2 2 3" xfId="7426"/>
    <cellStyle name="Обычный 6 2 3 2 2 4 2 2 2 3 2" xfId="12292"/>
    <cellStyle name="Обычный 6 2 3 2 2 4 2 2 2 4" xfId="12293"/>
    <cellStyle name="Обычный 6 2 3 2 2 4 2 2 3" xfId="3336"/>
    <cellStyle name="Обычный 6 2 3 2 2 4 2 2 3 2" xfId="8454"/>
    <cellStyle name="Обычный 6 2 3 2 2 4 2 2 3 2 2" xfId="12294"/>
    <cellStyle name="Обычный 6 2 3 2 2 4 2 2 3 3" xfId="12295"/>
    <cellStyle name="Обычный 6 2 3 2 2 4 2 2 4" xfId="6398"/>
    <cellStyle name="Обычный 6 2 3 2 2 4 2 2 4 2" xfId="12296"/>
    <cellStyle name="Обычный 6 2 3 2 2 4 2 2 5" xfId="12297"/>
    <cellStyle name="Обычный 6 2 3 2 2 4 2 3" xfId="880"/>
    <cellStyle name="Обычный 6 2 3 2 2 4 2 3 2" xfId="1999"/>
    <cellStyle name="Обычный 6 2 3 2 2 4 2 3 2 2" xfId="4537"/>
    <cellStyle name="Обычный 6 2 3 2 2 4 2 3 2 2 2" xfId="9655"/>
    <cellStyle name="Обычный 6 2 3 2 2 4 2 3 2 2 2 2" xfId="12298"/>
    <cellStyle name="Обычный 6 2 3 2 2 4 2 3 2 2 3" xfId="12299"/>
    <cellStyle name="Обычный 6 2 3 2 2 4 2 3 2 3" xfId="7599"/>
    <cellStyle name="Обычный 6 2 3 2 2 4 2 3 2 3 2" xfId="12300"/>
    <cellStyle name="Обычный 6 2 3 2 2 4 2 3 2 4" xfId="12301"/>
    <cellStyle name="Обычный 6 2 3 2 2 4 2 3 3" xfId="3509"/>
    <cellStyle name="Обычный 6 2 3 2 2 4 2 3 3 2" xfId="8627"/>
    <cellStyle name="Обычный 6 2 3 2 2 4 2 3 3 2 2" xfId="12302"/>
    <cellStyle name="Обычный 6 2 3 2 2 4 2 3 3 3" xfId="12303"/>
    <cellStyle name="Обычный 6 2 3 2 2 4 2 3 4" xfId="6571"/>
    <cellStyle name="Обычный 6 2 3 2 2 4 2 3 4 2" xfId="12304"/>
    <cellStyle name="Обычный 6 2 3 2 2 4 2 3 5" xfId="12305"/>
    <cellStyle name="Обычный 6 2 3 2 2 4 2 4" xfId="1051"/>
    <cellStyle name="Обычный 6 2 3 2 2 4 2 4 2" xfId="2170"/>
    <cellStyle name="Обычный 6 2 3 2 2 4 2 4 2 2" xfId="4708"/>
    <cellStyle name="Обычный 6 2 3 2 2 4 2 4 2 2 2" xfId="9826"/>
    <cellStyle name="Обычный 6 2 3 2 2 4 2 4 2 2 2 2" xfId="12306"/>
    <cellStyle name="Обычный 6 2 3 2 2 4 2 4 2 2 3" xfId="12307"/>
    <cellStyle name="Обычный 6 2 3 2 2 4 2 4 2 3" xfId="7770"/>
    <cellStyle name="Обычный 6 2 3 2 2 4 2 4 2 3 2" xfId="12308"/>
    <cellStyle name="Обычный 6 2 3 2 2 4 2 4 2 4" xfId="12309"/>
    <cellStyle name="Обычный 6 2 3 2 2 4 2 4 3" xfId="3680"/>
    <cellStyle name="Обычный 6 2 3 2 2 4 2 4 3 2" xfId="8798"/>
    <cellStyle name="Обычный 6 2 3 2 2 4 2 4 3 2 2" xfId="12310"/>
    <cellStyle name="Обычный 6 2 3 2 2 4 2 4 3 3" xfId="12311"/>
    <cellStyle name="Обычный 6 2 3 2 2 4 2 4 4" xfId="6742"/>
    <cellStyle name="Обычный 6 2 3 2 2 4 2 4 4 2" xfId="12312"/>
    <cellStyle name="Обычный 6 2 3 2 2 4 2 4 5" xfId="12313"/>
    <cellStyle name="Обычный 6 2 3 2 2 4 2 5" xfId="1232"/>
    <cellStyle name="Обычный 6 2 3 2 2 4 2 5 2" xfId="2341"/>
    <cellStyle name="Обычный 6 2 3 2 2 4 2 5 2 2" xfId="4879"/>
    <cellStyle name="Обычный 6 2 3 2 2 4 2 5 2 2 2" xfId="9997"/>
    <cellStyle name="Обычный 6 2 3 2 2 4 2 5 2 2 2 2" xfId="12314"/>
    <cellStyle name="Обычный 6 2 3 2 2 4 2 5 2 2 3" xfId="12315"/>
    <cellStyle name="Обычный 6 2 3 2 2 4 2 5 2 3" xfId="7941"/>
    <cellStyle name="Обычный 6 2 3 2 2 4 2 5 2 3 2" xfId="12316"/>
    <cellStyle name="Обычный 6 2 3 2 2 4 2 5 2 4" xfId="12317"/>
    <cellStyle name="Обычный 6 2 3 2 2 4 2 5 3" xfId="3851"/>
    <cellStyle name="Обычный 6 2 3 2 2 4 2 5 3 2" xfId="8969"/>
    <cellStyle name="Обычный 6 2 3 2 2 4 2 5 3 2 2" xfId="12318"/>
    <cellStyle name="Обычный 6 2 3 2 2 4 2 5 3 3" xfId="12319"/>
    <cellStyle name="Обычный 6 2 3 2 2 4 2 5 4" xfId="6913"/>
    <cellStyle name="Обычный 6 2 3 2 2 4 2 5 4 2" xfId="12320"/>
    <cellStyle name="Обычный 6 2 3 2 2 4 2 5 5" xfId="12321"/>
    <cellStyle name="Обычный 6 2 3 2 2 4 2 6" xfId="1406"/>
    <cellStyle name="Обычный 6 2 3 2 2 4 2 6 2" xfId="2512"/>
    <cellStyle name="Обычный 6 2 3 2 2 4 2 6 2 2" xfId="5050"/>
    <cellStyle name="Обычный 6 2 3 2 2 4 2 6 2 2 2" xfId="10168"/>
    <cellStyle name="Обычный 6 2 3 2 2 4 2 6 2 2 2 2" xfId="12322"/>
    <cellStyle name="Обычный 6 2 3 2 2 4 2 6 2 2 3" xfId="12323"/>
    <cellStyle name="Обычный 6 2 3 2 2 4 2 6 2 3" xfId="8112"/>
    <cellStyle name="Обычный 6 2 3 2 2 4 2 6 2 3 2" xfId="12324"/>
    <cellStyle name="Обычный 6 2 3 2 2 4 2 6 2 4" xfId="12325"/>
    <cellStyle name="Обычный 6 2 3 2 2 4 2 6 3" xfId="4022"/>
    <cellStyle name="Обычный 6 2 3 2 2 4 2 6 3 2" xfId="9140"/>
    <cellStyle name="Обычный 6 2 3 2 2 4 2 6 3 2 2" xfId="12326"/>
    <cellStyle name="Обычный 6 2 3 2 2 4 2 6 3 3" xfId="12327"/>
    <cellStyle name="Обычный 6 2 3 2 2 4 2 6 4" xfId="7084"/>
    <cellStyle name="Обычный 6 2 3 2 2 4 2 6 4 2" xfId="12328"/>
    <cellStyle name="Обычный 6 2 3 2 2 4 2 6 5" xfId="12329"/>
    <cellStyle name="Обычный 6 2 3 2 2 4 2 7" xfId="1577"/>
    <cellStyle name="Обычный 6 2 3 2 2 4 2 7 2" xfId="2683"/>
    <cellStyle name="Обычный 6 2 3 2 2 4 2 7 2 2" xfId="5221"/>
    <cellStyle name="Обычный 6 2 3 2 2 4 2 7 2 2 2" xfId="10339"/>
    <cellStyle name="Обычный 6 2 3 2 2 4 2 7 2 2 2 2" xfId="12330"/>
    <cellStyle name="Обычный 6 2 3 2 2 4 2 7 2 2 3" xfId="12331"/>
    <cellStyle name="Обычный 6 2 3 2 2 4 2 7 2 3" xfId="8283"/>
    <cellStyle name="Обычный 6 2 3 2 2 4 2 7 2 3 2" xfId="12332"/>
    <cellStyle name="Обычный 6 2 3 2 2 4 2 7 2 4" xfId="12333"/>
    <cellStyle name="Обычный 6 2 3 2 2 4 2 7 3" xfId="4193"/>
    <cellStyle name="Обычный 6 2 3 2 2 4 2 7 3 2" xfId="9311"/>
    <cellStyle name="Обычный 6 2 3 2 2 4 2 7 3 2 2" xfId="12334"/>
    <cellStyle name="Обычный 6 2 3 2 2 4 2 7 3 3" xfId="12335"/>
    <cellStyle name="Обычный 6 2 3 2 2 4 2 7 4" xfId="7255"/>
    <cellStyle name="Обычный 6 2 3 2 2 4 2 7 4 2" xfId="12336"/>
    <cellStyle name="Обычный 6 2 3 2 2 4 2 7 5" xfId="12337"/>
    <cellStyle name="Обычный 6 2 3 2 2 4 2 8" xfId="2995"/>
    <cellStyle name="Обычный 6 2 3 2 2 5" xfId="247"/>
    <cellStyle name="Обычный 6 2 3 2 2 5 2" xfId="694"/>
    <cellStyle name="Обычный 6 2 3 2 2 5 2 2" xfId="1822"/>
    <cellStyle name="Обычный 6 2 3 2 2 5 2 2 2" xfId="4365"/>
    <cellStyle name="Обычный 6 2 3 2 2 5 2 2 2 2" xfId="9483"/>
    <cellStyle name="Обычный 6 2 3 2 2 5 2 2 2 2 2" xfId="12338"/>
    <cellStyle name="Обычный 6 2 3 2 2 5 2 2 2 3" xfId="12339"/>
    <cellStyle name="Обычный 6 2 3 2 2 5 2 2 3" xfId="7427"/>
    <cellStyle name="Обычный 6 2 3 2 2 5 2 2 3 2" xfId="12340"/>
    <cellStyle name="Обычный 6 2 3 2 2 5 2 2 4" xfId="12341"/>
    <cellStyle name="Обычный 6 2 3 2 2 5 2 3" xfId="3337"/>
    <cellStyle name="Обычный 6 2 3 2 2 5 2 3 2" xfId="8455"/>
    <cellStyle name="Обычный 6 2 3 2 2 5 2 3 2 2" xfId="12342"/>
    <cellStyle name="Обычный 6 2 3 2 2 5 2 3 3" xfId="12343"/>
    <cellStyle name="Обычный 6 2 3 2 2 5 2 4" xfId="6399"/>
    <cellStyle name="Обычный 6 2 3 2 2 5 2 4 2" xfId="12344"/>
    <cellStyle name="Обычный 6 2 3 2 2 5 2 5" xfId="12345"/>
    <cellStyle name="Обычный 6 2 3 2 2 5 3" xfId="881"/>
    <cellStyle name="Обычный 6 2 3 2 2 5 3 2" xfId="2000"/>
    <cellStyle name="Обычный 6 2 3 2 2 5 3 2 2" xfId="4538"/>
    <cellStyle name="Обычный 6 2 3 2 2 5 3 2 2 2" xfId="9656"/>
    <cellStyle name="Обычный 6 2 3 2 2 5 3 2 2 2 2" xfId="12346"/>
    <cellStyle name="Обычный 6 2 3 2 2 5 3 2 2 3" xfId="12347"/>
    <cellStyle name="Обычный 6 2 3 2 2 5 3 2 3" xfId="7600"/>
    <cellStyle name="Обычный 6 2 3 2 2 5 3 2 3 2" xfId="12348"/>
    <cellStyle name="Обычный 6 2 3 2 2 5 3 2 4" xfId="12349"/>
    <cellStyle name="Обычный 6 2 3 2 2 5 3 3" xfId="3510"/>
    <cellStyle name="Обычный 6 2 3 2 2 5 3 3 2" xfId="8628"/>
    <cellStyle name="Обычный 6 2 3 2 2 5 3 3 2 2" xfId="12350"/>
    <cellStyle name="Обычный 6 2 3 2 2 5 3 3 3" xfId="12351"/>
    <cellStyle name="Обычный 6 2 3 2 2 5 3 4" xfId="6572"/>
    <cellStyle name="Обычный 6 2 3 2 2 5 3 4 2" xfId="12352"/>
    <cellStyle name="Обычный 6 2 3 2 2 5 3 5" xfId="12353"/>
    <cellStyle name="Обычный 6 2 3 2 2 5 4" xfId="1052"/>
    <cellStyle name="Обычный 6 2 3 2 2 5 4 2" xfId="2171"/>
    <cellStyle name="Обычный 6 2 3 2 2 5 4 2 2" xfId="4709"/>
    <cellStyle name="Обычный 6 2 3 2 2 5 4 2 2 2" xfId="9827"/>
    <cellStyle name="Обычный 6 2 3 2 2 5 4 2 2 2 2" xfId="12354"/>
    <cellStyle name="Обычный 6 2 3 2 2 5 4 2 2 3" xfId="12355"/>
    <cellStyle name="Обычный 6 2 3 2 2 5 4 2 3" xfId="7771"/>
    <cellStyle name="Обычный 6 2 3 2 2 5 4 2 3 2" xfId="12356"/>
    <cellStyle name="Обычный 6 2 3 2 2 5 4 2 4" xfId="12357"/>
    <cellStyle name="Обычный 6 2 3 2 2 5 4 3" xfId="3681"/>
    <cellStyle name="Обычный 6 2 3 2 2 5 4 3 2" xfId="8799"/>
    <cellStyle name="Обычный 6 2 3 2 2 5 4 3 2 2" xfId="12358"/>
    <cellStyle name="Обычный 6 2 3 2 2 5 4 3 3" xfId="12359"/>
    <cellStyle name="Обычный 6 2 3 2 2 5 4 4" xfId="6743"/>
    <cellStyle name="Обычный 6 2 3 2 2 5 4 4 2" xfId="12360"/>
    <cellStyle name="Обычный 6 2 3 2 2 5 4 5" xfId="12361"/>
    <cellStyle name="Обычный 6 2 3 2 2 5 5" xfId="1233"/>
    <cellStyle name="Обычный 6 2 3 2 2 5 5 2" xfId="2342"/>
    <cellStyle name="Обычный 6 2 3 2 2 5 5 2 2" xfId="4880"/>
    <cellStyle name="Обычный 6 2 3 2 2 5 5 2 2 2" xfId="9998"/>
    <cellStyle name="Обычный 6 2 3 2 2 5 5 2 2 2 2" xfId="12362"/>
    <cellStyle name="Обычный 6 2 3 2 2 5 5 2 2 3" xfId="12363"/>
    <cellStyle name="Обычный 6 2 3 2 2 5 5 2 3" xfId="7942"/>
    <cellStyle name="Обычный 6 2 3 2 2 5 5 2 3 2" xfId="12364"/>
    <cellStyle name="Обычный 6 2 3 2 2 5 5 2 4" xfId="12365"/>
    <cellStyle name="Обычный 6 2 3 2 2 5 5 3" xfId="3852"/>
    <cellStyle name="Обычный 6 2 3 2 2 5 5 3 2" xfId="8970"/>
    <cellStyle name="Обычный 6 2 3 2 2 5 5 3 2 2" xfId="12366"/>
    <cellStyle name="Обычный 6 2 3 2 2 5 5 3 3" xfId="12367"/>
    <cellStyle name="Обычный 6 2 3 2 2 5 5 4" xfId="6914"/>
    <cellStyle name="Обычный 6 2 3 2 2 5 5 4 2" xfId="12368"/>
    <cellStyle name="Обычный 6 2 3 2 2 5 5 5" xfId="12369"/>
    <cellStyle name="Обычный 6 2 3 2 2 5 6" xfId="1407"/>
    <cellStyle name="Обычный 6 2 3 2 2 5 6 2" xfId="2513"/>
    <cellStyle name="Обычный 6 2 3 2 2 5 6 2 2" xfId="5051"/>
    <cellStyle name="Обычный 6 2 3 2 2 5 6 2 2 2" xfId="10169"/>
    <cellStyle name="Обычный 6 2 3 2 2 5 6 2 2 2 2" xfId="12370"/>
    <cellStyle name="Обычный 6 2 3 2 2 5 6 2 2 3" xfId="12371"/>
    <cellStyle name="Обычный 6 2 3 2 2 5 6 2 3" xfId="8113"/>
    <cellStyle name="Обычный 6 2 3 2 2 5 6 2 3 2" xfId="12372"/>
    <cellStyle name="Обычный 6 2 3 2 2 5 6 2 4" xfId="12373"/>
    <cellStyle name="Обычный 6 2 3 2 2 5 6 3" xfId="4023"/>
    <cellStyle name="Обычный 6 2 3 2 2 5 6 3 2" xfId="9141"/>
    <cellStyle name="Обычный 6 2 3 2 2 5 6 3 2 2" xfId="12374"/>
    <cellStyle name="Обычный 6 2 3 2 2 5 6 3 3" xfId="12375"/>
    <cellStyle name="Обычный 6 2 3 2 2 5 6 4" xfId="7085"/>
    <cellStyle name="Обычный 6 2 3 2 2 5 6 4 2" xfId="12376"/>
    <cellStyle name="Обычный 6 2 3 2 2 5 6 5" xfId="12377"/>
    <cellStyle name="Обычный 6 2 3 2 2 5 7" xfId="1578"/>
    <cellStyle name="Обычный 6 2 3 2 2 5 7 2" xfId="2684"/>
    <cellStyle name="Обычный 6 2 3 2 2 5 7 2 2" xfId="5222"/>
    <cellStyle name="Обычный 6 2 3 2 2 5 7 2 2 2" xfId="10340"/>
    <cellStyle name="Обычный 6 2 3 2 2 5 7 2 2 2 2" xfId="12378"/>
    <cellStyle name="Обычный 6 2 3 2 2 5 7 2 2 3" xfId="12379"/>
    <cellStyle name="Обычный 6 2 3 2 2 5 7 2 3" xfId="8284"/>
    <cellStyle name="Обычный 6 2 3 2 2 5 7 2 3 2" xfId="12380"/>
    <cellStyle name="Обычный 6 2 3 2 2 5 7 2 4" xfId="12381"/>
    <cellStyle name="Обычный 6 2 3 2 2 5 7 3" xfId="4194"/>
    <cellStyle name="Обычный 6 2 3 2 2 5 7 3 2" xfId="9312"/>
    <cellStyle name="Обычный 6 2 3 2 2 5 7 3 2 2" xfId="12382"/>
    <cellStyle name="Обычный 6 2 3 2 2 5 7 3 3" xfId="12383"/>
    <cellStyle name="Обычный 6 2 3 2 2 5 7 4" xfId="7256"/>
    <cellStyle name="Обычный 6 2 3 2 2 5 7 4 2" xfId="12384"/>
    <cellStyle name="Обычный 6 2 3 2 2 5 7 5" xfId="12385"/>
    <cellStyle name="Обычный 6 2 3 2 2 5 8" xfId="2996"/>
    <cellStyle name="Обычный 6 2 3 2 3" xfId="248"/>
    <cellStyle name="Обычный 6 2 3 2 3 2" xfId="249"/>
    <cellStyle name="Обычный 6 2 3 2 3 2 2" xfId="250"/>
    <cellStyle name="Обычный 6 2 3 2 3 2 2 2" xfId="695"/>
    <cellStyle name="Обычный 6 2 3 2 3 2 2 2 2" xfId="1823"/>
    <cellStyle name="Обычный 6 2 3 2 3 2 2 2 2 2" xfId="4366"/>
    <cellStyle name="Обычный 6 2 3 2 3 2 2 2 2 2 2" xfId="9484"/>
    <cellStyle name="Обычный 6 2 3 2 3 2 2 2 2 2 2 2" xfId="12386"/>
    <cellStyle name="Обычный 6 2 3 2 3 2 2 2 2 2 3" xfId="12387"/>
    <cellStyle name="Обычный 6 2 3 2 3 2 2 2 2 3" xfId="7428"/>
    <cellStyle name="Обычный 6 2 3 2 3 2 2 2 2 3 2" xfId="12388"/>
    <cellStyle name="Обычный 6 2 3 2 3 2 2 2 2 4" xfId="12389"/>
    <cellStyle name="Обычный 6 2 3 2 3 2 2 2 3" xfId="3338"/>
    <cellStyle name="Обычный 6 2 3 2 3 2 2 2 3 2" xfId="8456"/>
    <cellStyle name="Обычный 6 2 3 2 3 2 2 2 3 2 2" xfId="12390"/>
    <cellStyle name="Обычный 6 2 3 2 3 2 2 2 3 3" xfId="12391"/>
    <cellStyle name="Обычный 6 2 3 2 3 2 2 2 4" xfId="6400"/>
    <cellStyle name="Обычный 6 2 3 2 3 2 2 2 4 2" xfId="12392"/>
    <cellStyle name="Обычный 6 2 3 2 3 2 2 2 5" xfId="12393"/>
    <cellStyle name="Обычный 6 2 3 2 3 2 2 3" xfId="882"/>
    <cellStyle name="Обычный 6 2 3 2 3 2 2 3 2" xfId="2001"/>
    <cellStyle name="Обычный 6 2 3 2 3 2 2 3 2 2" xfId="4539"/>
    <cellStyle name="Обычный 6 2 3 2 3 2 2 3 2 2 2" xfId="9657"/>
    <cellStyle name="Обычный 6 2 3 2 3 2 2 3 2 2 2 2" xfId="12394"/>
    <cellStyle name="Обычный 6 2 3 2 3 2 2 3 2 2 3" xfId="12395"/>
    <cellStyle name="Обычный 6 2 3 2 3 2 2 3 2 3" xfId="7601"/>
    <cellStyle name="Обычный 6 2 3 2 3 2 2 3 2 3 2" xfId="12396"/>
    <cellStyle name="Обычный 6 2 3 2 3 2 2 3 2 4" xfId="12397"/>
    <cellStyle name="Обычный 6 2 3 2 3 2 2 3 3" xfId="3511"/>
    <cellStyle name="Обычный 6 2 3 2 3 2 2 3 3 2" xfId="8629"/>
    <cellStyle name="Обычный 6 2 3 2 3 2 2 3 3 2 2" xfId="12398"/>
    <cellStyle name="Обычный 6 2 3 2 3 2 2 3 3 3" xfId="12399"/>
    <cellStyle name="Обычный 6 2 3 2 3 2 2 3 4" xfId="6573"/>
    <cellStyle name="Обычный 6 2 3 2 3 2 2 3 4 2" xfId="12400"/>
    <cellStyle name="Обычный 6 2 3 2 3 2 2 3 5" xfId="12401"/>
    <cellStyle name="Обычный 6 2 3 2 3 2 2 4" xfId="1053"/>
    <cellStyle name="Обычный 6 2 3 2 3 2 2 4 2" xfId="2172"/>
    <cellStyle name="Обычный 6 2 3 2 3 2 2 4 2 2" xfId="4710"/>
    <cellStyle name="Обычный 6 2 3 2 3 2 2 4 2 2 2" xfId="9828"/>
    <cellStyle name="Обычный 6 2 3 2 3 2 2 4 2 2 2 2" xfId="12402"/>
    <cellStyle name="Обычный 6 2 3 2 3 2 2 4 2 2 3" xfId="12403"/>
    <cellStyle name="Обычный 6 2 3 2 3 2 2 4 2 3" xfId="7772"/>
    <cellStyle name="Обычный 6 2 3 2 3 2 2 4 2 3 2" xfId="12404"/>
    <cellStyle name="Обычный 6 2 3 2 3 2 2 4 2 4" xfId="12405"/>
    <cellStyle name="Обычный 6 2 3 2 3 2 2 4 3" xfId="3682"/>
    <cellStyle name="Обычный 6 2 3 2 3 2 2 4 3 2" xfId="8800"/>
    <cellStyle name="Обычный 6 2 3 2 3 2 2 4 3 2 2" xfId="12406"/>
    <cellStyle name="Обычный 6 2 3 2 3 2 2 4 3 3" xfId="12407"/>
    <cellStyle name="Обычный 6 2 3 2 3 2 2 4 4" xfId="6744"/>
    <cellStyle name="Обычный 6 2 3 2 3 2 2 4 4 2" xfId="12408"/>
    <cellStyle name="Обычный 6 2 3 2 3 2 2 4 5" xfId="12409"/>
    <cellStyle name="Обычный 6 2 3 2 3 2 2 5" xfId="1234"/>
    <cellStyle name="Обычный 6 2 3 2 3 2 2 5 2" xfId="2343"/>
    <cellStyle name="Обычный 6 2 3 2 3 2 2 5 2 2" xfId="4881"/>
    <cellStyle name="Обычный 6 2 3 2 3 2 2 5 2 2 2" xfId="9999"/>
    <cellStyle name="Обычный 6 2 3 2 3 2 2 5 2 2 2 2" xfId="12410"/>
    <cellStyle name="Обычный 6 2 3 2 3 2 2 5 2 2 3" xfId="12411"/>
    <cellStyle name="Обычный 6 2 3 2 3 2 2 5 2 3" xfId="7943"/>
    <cellStyle name="Обычный 6 2 3 2 3 2 2 5 2 3 2" xfId="12412"/>
    <cellStyle name="Обычный 6 2 3 2 3 2 2 5 2 4" xfId="12413"/>
    <cellStyle name="Обычный 6 2 3 2 3 2 2 5 3" xfId="3853"/>
    <cellStyle name="Обычный 6 2 3 2 3 2 2 5 3 2" xfId="8971"/>
    <cellStyle name="Обычный 6 2 3 2 3 2 2 5 3 2 2" xfId="12414"/>
    <cellStyle name="Обычный 6 2 3 2 3 2 2 5 3 3" xfId="12415"/>
    <cellStyle name="Обычный 6 2 3 2 3 2 2 5 4" xfId="6915"/>
    <cellStyle name="Обычный 6 2 3 2 3 2 2 5 4 2" xfId="12416"/>
    <cellStyle name="Обычный 6 2 3 2 3 2 2 5 5" xfId="12417"/>
    <cellStyle name="Обычный 6 2 3 2 3 2 2 6" xfId="1408"/>
    <cellStyle name="Обычный 6 2 3 2 3 2 2 6 2" xfId="2514"/>
    <cellStyle name="Обычный 6 2 3 2 3 2 2 6 2 2" xfId="5052"/>
    <cellStyle name="Обычный 6 2 3 2 3 2 2 6 2 2 2" xfId="10170"/>
    <cellStyle name="Обычный 6 2 3 2 3 2 2 6 2 2 2 2" xfId="12418"/>
    <cellStyle name="Обычный 6 2 3 2 3 2 2 6 2 2 3" xfId="12419"/>
    <cellStyle name="Обычный 6 2 3 2 3 2 2 6 2 3" xfId="8114"/>
    <cellStyle name="Обычный 6 2 3 2 3 2 2 6 2 3 2" xfId="12420"/>
    <cellStyle name="Обычный 6 2 3 2 3 2 2 6 2 4" xfId="12421"/>
    <cellStyle name="Обычный 6 2 3 2 3 2 2 6 3" xfId="4024"/>
    <cellStyle name="Обычный 6 2 3 2 3 2 2 6 3 2" xfId="9142"/>
    <cellStyle name="Обычный 6 2 3 2 3 2 2 6 3 2 2" xfId="12422"/>
    <cellStyle name="Обычный 6 2 3 2 3 2 2 6 3 3" xfId="12423"/>
    <cellStyle name="Обычный 6 2 3 2 3 2 2 6 4" xfId="7086"/>
    <cellStyle name="Обычный 6 2 3 2 3 2 2 6 4 2" xfId="12424"/>
    <cellStyle name="Обычный 6 2 3 2 3 2 2 6 5" xfId="12425"/>
    <cellStyle name="Обычный 6 2 3 2 3 2 2 7" xfId="1579"/>
    <cellStyle name="Обычный 6 2 3 2 3 2 2 7 2" xfId="2685"/>
    <cellStyle name="Обычный 6 2 3 2 3 2 2 7 2 2" xfId="5223"/>
    <cellStyle name="Обычный 6 2 3 2 3 2 2 7 2 2 2" xfId="10341"/>
    <cellStyle name="Обычный 6 2 3 2 3 2 2 7 2 2 2 2" xfId="12426"/>
    <cellStyle name="Обычный 6 2 3 2 3 2 2 7 2 2 3" xfId="12427"/>
    <cellStyle name="Обычный 6 2 3 2 3 2 2 7 2 3" xfId="8285"/>
    <cellStyle name="Обычный 6 2 3 2 3 2 2 7 2 3 2" xfId="12428"/>
    <cellStyle name="Обычный 6 2 3 2 3 2 2 7 2 4" xfId="12429"/>
    <cellStyle name="Обычный 6 2 3 2 3 2 2 7 3" xfId="4195"/>
    <cellStyle name="Обычный 6 2 3 2 3 2 2 7 3 2" xfId="9313"/>
    <cellStyle name="Обычный 6 2 3 2 3 2 2 7 3 2 2" xfId="12430"/>
    <cellStyle name="Обычный 6 2 3 2 3 2 2 7 3 3" xfId="12431"/>
    <cellStyle name="Обычный 6 2 3 2 3 2 2 7 4" xfId="7257"/>
    <cellStyle name="Обычный 6 2 3 2 3 2 2 7 4 2" xfId="12432"/>
    <cellStyle name="Обычный 6 2 3 2 3 2 2 7 5" xfId="12433"/>
    <cellStyle name="Обычный 6 2 3 2 3 2 2 8" xfId="2997"/>
    <cellStyle name="Обычный 6 2 3 2 3 3" xfId="251"/>
    <cellStyle name="Обычный 6 2 3 2 3 3 2" xfId="252"/>
    <cellStyle name="Обычный 6 2 3 2 3 3 2 2" xfId="696"/>
    <cellStyle name="Обычный 6 2 3 2 3 3 2 2 2" xfId="1824"/>
    <cellStyle name="Обычный 6 2 3 2 3 3 2 2 2 2" xfId="4367"/>
    <cellStyle name="Обычный 6 2 3 2 3 3 2 2 2 2 2" xfId="9485"/>
    <cellStyle name="Обычный 6 2 3 2 3 3 2 2 2 2 2 2" xfId="12434"/>
    <cellStyle name="Обычный 6 2 3 2 3 3 2 2 2 2 3" xfId="12435"/>
    <cellStyle name="Обычный 6 2 3 2 3 3 2 2 2 3" xfId="7429"/>
    <cellStyle name="Обычный 6 2 3 2 3 3 2 2 2 3 2" xfId="12436"/>
    <cellStyle name="Обычный 6 2 3 2 3 3 2 2 2 4" xfId="12437"/>
    <cellStyle name="Обычный 6 2 3 2 3 3 2 2 3" xfId="3339"/>
    <cellStyle name="Обычный 6 2 3 2 3 3 2 2 3 2" xfId="8457"/>
    <cellStyle name="Обычный 6 2 3 2 3 3 2 2 3 2 2" xfId="12438"/>
    <cellStyle name="Обычный 6 2 3 2 3 3 2 2 3 3" xfId="12439"/>
    <cellStyle name="Обычный 6 2 3 2 3 3 2 2 4" xfId="6401"/>
    <cellStyle name="Обычный 6 2 3 2 3 3 2 2 4 2" xfId="12440"/>
    <cellStyle name="Обычный 6 2 3 2 3 3 2 2 5" xfId="12441"/>
    <cellStyle name="Обычный 6 2 3 2 3 3 2 3" xfId="883"/>
    <cellStyle name="Обычный 6 2 3 2 3 3 2 3 2" xfId="2002"/>
    <cellStyle name="Обычный 6 2 3 2 3 3 2 3 2 2" xfId="4540"/>
    <cellStyle name="Обычный 6 2 3 2 3 3 2 3 2 2 2" xfId="9658"/>
    <cellStyle name="Обычный 6 2 3 2 3 3 2 3 2 2 2 2" xfId="12442"/>
    <cellStyle name="Обычный 6 2 3 2 3 3 2 3 2 2 3" xfId="12443"/>
    <cellStyle name="Обычный 6 2 3 2 3 3 2 3 2 3" xfId="7602"/>
    <cellStyle name="Обычный 6 2 3 2 3 3 2 3 2 3 2" xfId="12444"/>
    <cellStyle name="Обычный 6 2 3 2 3 3 2 3 2 4" xfId="12445"/>
    <cellStyle name="Обычный 6 2 3 2 3 3 2 3 3" xfId="3512"/>
    <cellStyle name="Обычный 6 2 3 2 3 3 2 3 3 2" xfId="8630"/>
    <cellStyle name="Обычный 6 2 3 2 3 3 2 3 3 2 2" xfId="12446"/>
    <cellStyle name="Обычный 6 2 3 2 3 3 2 3 3 3" xfId="12447"/>
    <cellStyle name="Обычный 6 2 3 2 3 3 2 3 4" xfId="6574"/>
    <cellStyle name="Обычный 6 2 3 2 3 3 2 3 4 2" xfId="12448"/>
    <cellStyle name="Обычный 6 2 3 2 3 3 2 3 5" xfId="12449"/>
    <cellStyle name="Обычный 6 2 3 2 3 3 2 4" xfId="1054"/>
    <cellStyle name="Обычный 6 2 3 2 3 3 2 4 2" xfId="2173"/>
    <cellStyle name="Обычный 6 2 3 2 3 3 2 4 2 2" xfId="4711"/>
    <cellStyle name="Обычный 6 2 3 2 3 3 2 4 2 2 2" xfId="9829"/>
    <cellStyle name="Обычный 6 2 3 2 3 3 2 4 2 2 2 2" xfId="12450"/>
    <cellStyle name="Обычный 6 2 3 2 3 3 2 4 2 2 3" xfId="12451"/>
    <cellStyle name="Обычный 6 2 3 2 3 3 2 4 2 3" xfId="7773"/>
    <cellStyle name="Обычный 6 2 3 2 3 3 2 4 2 3 2" xfId="12452"/>
    <cellStyle name="Обычный 6 2 3 2 3 3 2 4 2 4" xfId="12453"/>
    <cellStyle name="Обычный 6 2 3 2 3 3 2 4 3" xfId="3683"/>
    <cellStyle name="Обычный 6 2 3 2 3 3 2 4 3 2" xfId="8801"/>
    <cellStyle name="Обычный 6 2 3 2 3 3 2 4 3 2 2" xfId="12454"/>
    <cellStyle name="Обычный 6 2 3 2 3 3 2 4 3 3" xfId="12455"/>
    <cellStyle name="Обычный 6 2 3 2 3 3 2 4 4" xfId="6745"/>
    <cellStyle name="Обычный 6 2 3 2 3 3 2 4 4 2" xfId="12456"/>
    <cellStyle name="Обычный 6 2 3 2 3 3 2 4 5" xfId="12457"/>
    <cellStyle name="Обычный 6 2 3 2 3 3 2 5" xfId="1235"/>
    <cellStyle name="Обычный 6 2 3 2 3 3 2 5 2" xfId="2344"/>
    <cellStyle name="Обычный 6 2 3 2 3 3 2 5 2 2" xfId="4882"/>
    <cellStyle name="Обычный 6 2 3 2 3 3 2 5 2 2 2" xfId="10000"/>
    <cellStyle name="Обычный 6 2 3 2 3 3 2 5 2 2 2 2" xfId="12458"/>
    <cellStyle name="Обычный 6 2 3 2 3 3 2 5 2 2 3" xfId="12459"/>
    <cellStyle name="Обычный 6 2 3 2 3 3 2 5 2 3" xfId="7944"/>
    <cellStyle name="Обычный 6 2 3 2 3 3 2 5 2 3 2" xfId="12460"/>
    <cellStyle name="Обычный 6 2 3 2 3 3 2 5 2 4" xfId="12461"/>
    <cellStyle name="Обычный 6 2 3 2 3 3 2 5 3" xfId="3854"/>
    <cellStyle name="Обычный 6 2 3 2 3 3 2 5 3 2" xfId="8972"/>
    <cellStyle name="Обычный 6 2 3 2 3 3 2 5 3 2 2" xfId="12462"/>
    <cellStyle name="Обычный 6 2 3 2 3 3 2 5 3 3" xfId="12463"/>
    <cellStyle name="Обычный 6 2 3 2 3 3 2 5 4" xfId="6916"/>
    <cellStyle name="Обычный 6 2 3 2 3 3 2 5 4 2" xfId="12464"/>
    <cellStyle name="Обычный 6 2 3 2 3 3 2 5 5" xfId="12465"/>
    <cellStyle name="Обычный 6 2 3 2 3 3 2 6" xfId="1409"/>
    <cellStyle name="Обычный 6 2 3 2 3 3 2 6 2" xfId="2515"/>
    <cellStyle name="Обычный 6 2 3 2 3 3 2 6 2 2" xfId="5053"/>
    <cellStyle name="Обычный 6 2 3 2 3 3 2 6 2 2 2" xfId="10171"/>
    <cellStyle name="Обычный 6 2 3 2 3 3 2 6 2 2 2 2" xfId="12466"/>
    <cellStyle name="Обычный 6 2 3 2 3 3 2 6 2 2 3" xfId="12467"/>
    <cellStyle name="Обычный 6 2 3 2 3 3 2 6 2 3" xfId="8115"/>
    <cellStyle name="Обычный 6 2 3 2 3 3 2 6 2 3 2" xfId="12468"/>
    <cellStyle name="Обычный 6 2 3 2 3 3 2 6 2 4" xfId="12469"/>
    <cellStyle name="Обычный 6 2 3 2 3 3 2 6 3" xfId="4025"/>
    <cellStyle name="Обычный 6 2 3 2 3 3 2 6 3 2" xfId="9143"/>
    <cellStyle name="Обычный 6 2 3 2 3 3 2 6 3 2 2" xfId="12470"/>
    <cellStyle name="Обычный 6 2 3 2 3 3 2 6 3 3" xfId="12471"/>
    <cellStyle name="Обычный 6 2 3 2 3 3 2 6 4" xfId="7087"/>
    <cellStyle name="Обычный 6 2 3 2 3 3 2 6 4 2" xfId="12472"/>
    <cellStyle name="Обычный 6 2 3 2 3 3 2 6 5" xfId="12473"/>
    <cellStyle name="Обычный 6 2 3 2 3 3 2 7" xfId="1580"/>
    <cellStyle name="Обычный 6 2 3 2 3 3 2 7 2" xfId="2686"/>
    <cellStyle name="Обычный 6 2 3 2 3 3 2 7 2 2" xfId="5224"/>
    <cellStyle name="Обычный 6 2 3 2 3 3 2 7 2 2 2" xfId="10342"/>
    <cellStyle name="Обычный 6 2 3 2 3 3 2 7 2 2 2 2" xfId="12474"/>
    <cellStyle name="Обычный 6 2 3 2 3 3 2 7 2 2 3" xfId="12475"/>
    <cellStyle name="Обычный 6 2 3 2 3 3 2 7 2 3" xfId="8286"/>
    <cellStyle name="Обычный 6 2 3 2 3 3 2 7 2 3 2" xfId="12476"/>
    <cellStyle name="Обычный 6 2 3 2 3 3 2 7 2 4" xfId="12477"/>
    <cellStyle name="Обычный 6 2 3 2 3 3 2 7 3" xfId="4196"/>
    <cellStyle name="Обычный 6 2 3 2 3 3 2 7 3 2" xfId="9314"/>
    <cellStyle name="Обычный 6 2 3 2 3 3 2 7 3 2 2" xfId="12478"/>
    <cellStyle name="Обычный 6 2 3 2 3 3 2 7 3 3" xfId="12479"/>
    <cellStyle name="Обычный 6 2 3 2 3 3 2 7 4" xfId="7258"/>
    <cellStyle name="Обычный 6 2 3 2 3 3 2 7 4 2" xfId="12480"/>
    <cellStyle name="Обычный 6 2 3 2 3 3 2 7 5" xfId="12481"/>
    <cellStyle name="Обычный 6 2 3 2 3 3 2 8" xfId="2998"/>
    <cellStyle name="Обычный 6 2 3 2 3 4" xfId="253"/>
    <cellStyle name="Обычный 6 2 3 2 3 4 2" xfId="697"/>
    <cellStyle name="Обычный 6 2 3 2 3 4 2 2" xfId="1825"/>
    <cellStyle name="Обычный 6 2 3 2 3 4 2 2 2" xfId="4368"/>
    <cellStyle name="Обычный 6 2 3 2 3 4 2 2 2 2" xfId="9486"/>
    <cellStyle name="Обычный 6 2 3 2 3 4 2 2 2 2 2" xfId="12482"/>
    <cellStyle name="Обычный 6 2 3 2 3 4 2 2 2 3" xfId="12483"/>
    <cellStyle name="Обычный 6 2 3 2 3 4 2 2 3" xfId="7430"/>
    <cellStyle name="Обычный 6 2 3 2 3 4 2 2 3 2" xfId="12484"/>
    <cellStyle name="Обычный 6 2 3 2 3 4 2 2 4" xfId="12485"/>
    <cellStyle name="Обычный 6 2 3 2 3 4 2 3" xfId="3340"/>
    <cellStyle name="Обычный 6 2 3 2 3 4 2 3 2" xfId="8458"/>
    <cellStyle name="Обычный 6 2 3 2 3 4 2 3 2 2" xfId="12486"/>
    <cellStyle name="Обычный 6 2 3 2 3 4 2 3 3" xfId="12487"/>
    <cellStyle name="Обычный 6 2 3 2 3 4 2 4" xfId="6402"/>
    <cellStyle name="Обычный 6 2 3 2 3 4 2 4 2" xfId="12488"/>
    <cellStyle name="Обычный 6 2 3 2 3 4 2 5" xfId="12489"/>
    <cellStyle name="Обычный 6 2 3 2 3 4 3" xfId="884"/>
    <cellStyle name="Обычный 6 2 3 2 3 4 3 2" xfId="2003"/>
    <cellStyle name="Обычный 6 2 3 2 3 4 3 2 2" xfId="4541"/>
    <cellStyle name="Обычный 6 2 3 2 3 4 3 2 2 2" xfId="9659"/>
    <cellStyle name="Обычный 6 2 3 2 3 4 3 2 2 2 2" xfId="12490"/>
    <cellStyle name="Обычный 6 2 3 2 3 4 3 2 2 3" xfId="12491"/>
    <cellStyle name="Обычный 6 2 3 2 3 4 3 2 3" xfId="7603"/>
    <cellStyle name="Обычный 6 2 3 2 3 4 3 2 3 2" xfId="12492"/>
    <cellStyle name="Обычный 6 2 3 2 3 4 3 2 4" xfId="12493"/>
    <cellStyle name="Обычный 6 2 3 2 3 4 3 3" xfId="3513"/>
    <cellStyle name="Обычный 6 2 3 2 3 4 3 3 2" xfId="8631"/>
    <cellStyle name="Обычный 6 2 3 2 3 4 3 3 2 2" xfId="12494"/>
    <cellStyle name="Обычный 6 2 3 2 3 4 3 3 3" xfId="12495"/>
    <cellStyle name="Обычный 6 2 3 2 3 4 3 4" xfId="6575"/>
    <cellStyle name="Обычный 6 2 3 2 3 4 3 4 2" xfId="12496"/>
    <cellStyle name="Обычный 6 2 3 2 3 4 3 5" xfId="12497"/>
    <cellStyle name="Обычный 6 2 3 2 3 4 4" xfId="1055"/>
    <cellStyle name="Обычный 6 2 3 2 3 4 4 2" xfId="2174"/>
    <cellStyle name="Обычный 6 2 3 2 3 4 4 2 2" xfId="4712"/>
    <cellStyle name="Обычный 6 2 3 2 3 4 4 2 2 2" xfId="9830"/>
    <cellStyle name="Обычный 6 2 3 2 3 4 4 2 2 2 2" xfId="12498"/>
    <cellStyle name="Обычный 6 2 3 2 3 4 4 2 2 3" xfId="12499"/>
    <cellStyle name="Обычный 6 2 3 2 3 4 4 2 3" xfId="7774"/>
    <cellStyle name="Обычный 6 2 3 2 3 4 4 2 3 2" xfId="12500"/>
    <cellStyle name="Обычный 6 2 3 2 3 4 4 2 4" xfId="12501"/>
    <cellStyle name="Обычный 6 2 3 2 3 4 4 3" xfId="3684"/>
    <cellStyle name="Обычный 6 2 3 2 3 4 4 3 2" xfId="8802"/>
    <cellStyle name="Обычный 6 2 3 2 3 4 4 3 2 2" xfId="12502"/>
    <cellStyle name="Обычный 6 2 3 2 3 4 4 3 3" xfId="12503"/>
    <cellStyle name="Обычный 6 2 3 2 3 4 4 4" xfId="6746"/>
    <cellStyle name="Обычный 6 2 3 2 3 4 4 4 2" xfId="12504"/>
    <cellStyle name="Обычный 6 2 3 2 3 4 4 5" xfId="12505"/>
    <cellStyle name="Обычный 6 2 3 2 3 4 5" xfId="1236"/>
    <cellStyle name="Обычный 6 2 3 2 3 4 5 2" xfId="2345"/>
    <cellStyle name="Обычный 6 2 3 2 3 4 5 2 2" xfId="4883"/>
    <cellStyle name="Обычный 6 2 3 2 3 4 5 2 2 2" xfId="10001"/>
    <cellStyle name="Обычный 6 2 3 2 3 4 5 2 2 2 2" xfId="12506"/>
    <cellStyle name="Обычный 6 2 3 2 3 4 5 2 2 3" xfId="12507"/>
    <cellStyle name="Обычный 6 2 3 2 3 4 5 2 3" xfId="7945"/>
    <cellStyle name="Обычный 6 2 3 2 3 4 5 2 3 2" xfId="12508"/>
    <cellStyle name="Обычный 6 2 3 2 3 4 5 2 4" xfId="12509"/>
    <cellStyle name="Обычный 6 2 3 2 3 4 5 3" xfId="3855"/>
    <cellStyle name="Обычный 6 2 3 2 3 4 5 3 2" xfId="8973"/>
    <cellStyle name="Обычный 6 2 3 2 3 4 5 3 2 2" xfId="12510"/>
    <cellStyle name="Обычный 6 2 3 2 3 4 5 3 3" xfId="12511"/>
    <cellStyle name="Обычный 6 2 3 2 3 4 5 4" xfId="6917"/>
    <cellStyle name="Обычный 6 2 3 2 3 4 5 4 2" xfId="12512"/>
    <cellStyle name="Обычный 6 2 3 2 3 4 5 5" xfId="12513"/>
    <cellStyle name="Обычный 6 2 3 2 3 4 6" xfId="1410"/>
    <cellStyle name="Обычный 6 2 3 2 3 4 6 2" xfId="2516"/>
    <cellStyle name="Обычный 6 2 3 2 3 4 6 2 2" xfId="5054"/>
    <cellStyle name="Обычный 6 2 3 2 3 4 6 2 2 2" xfId="10172"/>
    <cellStyle name="Обычный 6 2 3 2 3 4 6 2 2 2 2" xfId="12514"/>
    <cellStyle name="Обычный 6 2 3 2 3 4 6 2 2 3" xfId="12515"/>
    <cellStyle name="Обычный 6 2 3 2 3 4 6 2 3" xfId="8116"/>
    <cellStyle name="Обычный 6 2 3 2 3 4 6 2 3 2" xfId="12516"/>
    <cellStyle name="Обычный 6 2 3 2 3 4 6 2 4" xfId="12517"/>
    <cellStyle name="Обычный 6 2 3 2 3 4 6 3" xfId="4026"/>
    <cellStyle name="Обычный 6 2 3 2 3 4 6 3 2" xfId="9144"/>
    <cellStyle name="Обычный 6 2 3 2 3 4 6 3 2 2" xfId="12518"/>
    <cellStyle name="Обычный 6 2 3 2 3 4 6 3 3" xfId="12519"/>
    <cellStyle name="Обычный 6 2 3 2 3 4 6 4" xfId="7088"/>
    <cellStyle name="Обычный 6 2 3 2 3 4 6 4 2" xfId="12520"/>
    <cellStyle name="Обычный 6 2 3 2 3 4 6 5" xfId="12521"/>
    <cellStyle name="Обычный 6 2 3 2 3 4 7" xfId="1581"/>
    <cellStyle name="Обычный 6 2 3 2 3 4 7 2" xfId="2687"/>
    <cellStyle name="Обычный 6 2 3 2 3 4 7 2 2" xfId="5225"/>
    <cellStyle name="Обычный 6 2 3 2 3 4 7 2 2 2" xfId="10343"/>
    <cellStyle name="Обычный 6 2 3 2 3 4 7 2 2 2 2" xfId="12522"/>
    <cellStyle name="Обычный 6 2 3 2 3 4 7 2 2 3" xfId="12523"/>
    <cellStyle name="Обычный 6 2 3 2 3 4 7 2 3" xfId="8287"/>
    <cellStyle name="Обычный 6 2 3 2 3 4 7 2 3 2" xfId="12524"/>
    <cellStyle name="Обычный 6 2 3 2 3 4 7 2 4" xfId="12525"/>
    <cellStyle name="Обычный 6 2 3 2 3 4 7 3" xfId="4197"/>
    <cellStyle name="Обычный 6 2 3 2 3 4 7 3 2" xfId="9315"/>
    <cellStyle name="Обычный 6 2 3 2 3 4 7 3 2 2" xfId="12526"/>
    <cellStyle name="Обычный 6 2 3 2 3 4 7 3 3" xfId="12527"/>
    <cellStyle name="Обычный 6 2 3 2 3 4 7 4" xfId="7259"/>
    <cellStyle name="Обычный 6 2 3 2 3 4 7 4 2" xfId="12528"/>
    <cellStyle name="Обычный 6 2 3 2 3 4 7 5" xfId="12529"/>
    <cellStyle name="Обычный 6 2 3 2 3 4 8" xfId="2999"/>
    <cellStyle name="Обычный 6 2 3 2 4" xfId="254"/>
    <cellStyle name="Обычный 6 2 3 2 4 2" xfId="255"/>
    <cellStyle name="Обычный 6 2 3 2 4 2 2" xfId="698"/>
    <cellStyle name="Обычный 6 2 3 2 4 2 2 2" xfId="1826"/>
    <cellStyle name="Обычный 6 2 3 2 4 2 2 2 2" xfId="4369"/>
    <cellStyle name="Обычный 6 2 3 2 4 2 2 2 2 2" xfId="9487"/>
    <cellStyle name="Обычный 6 2 3 2 4 2 2 2 2 2 2" xfId="12530"/>
    <cellStyle name="Обычный 6 2 3 2 4 2 2 2 2 3" xfId="12531"/>
    <cellStyle name="Обычный 6 2 3 2 4 2 2 2 3" xfId="7431"/>
    <cellStyle name="Обычный 6 2 3 2 4 2 2 2 3 2" xfId="12532"/>
    <cellStyle name="Обычный 6 2 3 2 4 2 2 2 4" xfId="12533"/>
    <cellStyle name="Обычный 6 2 3 2 4 2 2 3" xfId="3341"/>
    <cellStyle name="Обычный 6 2 3 2 4 2 2 3 2" xfId="8459"/>
    <cellStyle name="Обычный 6 2 3 2 4 2 2 3 2 2" xfId="12534"/>
    <cellStyle name="Обычный 6 2 3 2 4 2 2 3 3" xfId="12535"/>
    <cellStyle name="Обычный 6 2 3 2 4 2 2 4" xfId="6403"/>
    <cellStyle name="Обычный 6 2 3 2 4 2 2 4 2" xfId="12536"/>
    <cellStyle name="Обычный 6 2 3 2 4 2 2 5" xfId="12537"/>
    <cellStyle name="Обычный 6 2 3 2 4 2 3" xfId="885"/>
    <cellStyle name="Обычный 6 2 3 2 4 2 3 2" xfId="2004"/>
    <cellStyle name="Обычный 6 2 3 2 4 2 3 2 2" xfId="4542"/>
    <cellStyle name="Обычный 6 2 3 2 4 2 3 2 2 2" xfId="9660"/>
    <cellStyle name="Обычный 6 2 3 2 4 2 3 2 2 2 2" xfId="12538"/>
    <cellStyle name="Обычный 6 2 3 2 4 2 3 2 2 3" xfId="12539"/>
    <cellStyle name="Обычный 6 2 3 2 4 2 3 2 3" xfId="7604"/>
    <cellStyle name="Обычный 6 2 3 2 4 2 3 2 3 2" xfId="12540"/>
    <cellStyle name="Обычный 6 2 3 2 4 2 3 2 4" xfId="12541"/>
    <cellStyle name="Обычный 6 2 3 2 4 2 3 3" xfId="3514"/>
    <cellStyle name="Обычный 6 2 3 2 4 2 3 3 2" xfId="8632"/>
    <cellStyle name="Обычный 6 2 3 2 4 2 3 3 2 2" xfId="12542"/>
    <cellStyle name="Обычный 6 2 3 2 4 2 3 3 3" xfId="12543"/>
    <cellStyle name="Обычный 6 2 3 2 4 2 3 4" xfId="6576"/>
    <cellStyle name="Обычный 6 2 3 2 4 2 3 4 2" xfId="12544"/>
    <cellStyle name="Обычный 6 2 3 2 4 2 3 5" xfId="12545"/>
    <cellStyle name="Обычный 6 2 3 2 4 2 4" xfId="1056"/>
    <cellStyle name="Обычный 6 2 3 2 4 2 4 2" xfId="2175"/>
    <cellStyle name="Обычный 6 2 3 2 4 2 4 2 2" xfId="4713"/>
    <cellStyle name="Обычный 6 2 3 2 4 2 4 2 2 2" xfId="9831"/>
    <cellStyle name="Обычный 6 2 3 2 4 2 4 2 2 2 2" xfId="12546"/>
    <cellStyle name="Обычный 6 2 3 2 4 2 4 2 2 3" xfId="12547"/>
    <cellStyle name="Обычный 6 2 3 2 4 2 4 2 3" xfId="7775"/>
    <cellStyle name="Обычный 6 2 3 2 4 2 4 2 3 2" xfId="12548"/>
    <cellStyle name="Обычный 6 2 3 2 4 2 4 2 4" xfId="12549"/>
    <cellStyle name="Обычный 6 2 3 2 4 2 4 3" xfId="3685"/>
    <cellStyle name="Обычный 6 2 3 2 4 2 4 3 2" xfId="8803"/>
    <cellStyle name="Обычный 6 2 3 2 4 2 4 3 2 2" xfId="12550"/>
    <cellStyle name="Обычный 6 2 3 2 4 2 4 3 3" xfId="12551"/>
    <cellStyle name="Обычный 6 2 3 2 4 2 4 4" xfId="6747"/>
    <cellStyle name="Обычный 6 2 3 2 4 2 4 4 2" xfId="12552"/>
    <cellStyle name="Обычный 6 2 3 2 4 2 4 5" xfId="12553"/>
    <cellStyle name="Обычный 6 2 3 2 4 2 5" xfId="1237"/>
    <cellStyle name="Обычный 6 2 3 2 4 2 5 2" xfId="2346"/>
    <cellStyle name="Обычный 6 2 3 2 4 2 5 2 2" xfId="4884"/>
    <cellStyle name="Обычный 6 2 3 2 4 2 5 2 2 2" xfId="10002"/>
    <cellStyle name="Обычный 6 2 3 2 4 2 5 2 2 2 2" xfId="12554"/>
    <cellStyle name="Обычный 6 2 3 2 4 2 5 2 2 3" xfId="12555"/>
    <cellStyle name="Обычный 6 2 3 2 4 2 5 2 3" xfId="7946"/>
    <cellStyle name="Обычный 6 2 3 2 4 2 5 2 3 2" xfId="12556"/>
    <cellStyle name="Обычный 6 2 3 2 4 2 5 2 4" xfId="12557"/>
    <cellStyle name="Обычный 6 2 3 2 4 2 5 3" xfId="3856"/>
    <cellStyle name="Обычный 6 2 3 2 4 2 5 3 2" xfId="8974"/>
    <cellStyle name="Обычный 6 2 3 2 4 2 5 3 2 2" xfId="12558"/>
    <cellStyle name="Обычный 6 2 3 2 4 2 5 3 3" xfId="12559"/>
    <cellStyle name="Обычный 6 2 3 2 4 2 5 4" xfId="6918"/>
    <cellStyle name="Обычный 6 2 3 2 4 2 5 4 2" xfId="12560"/>
    <cellStyle name="Обычный 6 2 3 2 4 2 5 5" xfId="12561"/>
    <cellStyle name="Обычный 6 2 3 2 4 2 6" xfId="1411"/>
    <cellStyle name="Обычный 6 2 3 2 4 2 6 2" xfId="2517"/>
    <cellStyle name="Обычный 6 2 3 2 4 2 6 2 2" xfId="5055"/>
    <cellStyle name="Обычный 6 2 3 2 4 2 6 2 2 2" xfId="10173"/>
    <cellStyle name="Обычный 6 2 3 2 4 2 6 2 2 2 2" xfId="12562"/>
    <cellStyle name="Обычный 6 2 3 2 4 2 6 2 2 3" xfId="12563"/>
    <cellStyle name="Обычный 6 2 3 2 4 2 6 2 3" xfId="8117"/>
    <cellStyle name="Обычный 6 2 3 2 4 2 6 2 3 2" xfId="12564"/>
    <cellStyle name="Обычный 6 2 3 2 4 2 6 2 4" xfId="12565"/>
    <cellStyle name="Обычный 6 2 3 2 4 2 6 3" xfId="4027"/>
    <cellStyle name="Обычный 6 2 3 2 4 2 6 3 2" xfId="9145"/>
    <cellStyle name="Обычный 6 2 3 2 4 2 6 3 2 2" xfId="12566"/>
    <cellStyle name="Обычный 6 2 3 2 4 2 6 3 3" xfId="12567"/>
    <cellStyle name="Обычный 6 2 3 2 4 2 6 4" xfId="7089"/>
    <cellStyle name="Обычный 6 2 3 2 4 2 6 4 2" xfId="12568"/>
    <cellStyle name="Обычный 6 2 3 2 4 2 6 5" xfId="12569"/>
    <cellStyle name="Обычный 6 2 3 2 4 2 7" xfId="1582"/>
    <cellStyle name="Обычный 6 2 3 2 4 2 7 2" xfId="2688"/>
    <cellStyle name="Обычный 6 2 3 2 4 2 7 2 2" xfId="5226"/>
    <cellStyle name="Обычный 6 2 3 2 4 2 7 2 2 2" xfId="10344"/>
    <cellStyle name="Обычный 6 2 3 2 4 2 7 2 2 2 2" xfId="12570"/>
    <cellStyle name="Обычный 6 2 3 2 4 2 7 2 2 3" xfId="12571"/>
    <cellStyle name="Обычный 6 2 3 2 4 2 7 2 3" xfId="8288"/>
    <cellStyle name="Обычный 6 2 3 2 4 2 7 2 3 2" xfId="12572"/>
    <cellStyle name="Обычный 6 2 3 2 4 2 7 2 4" xfId="12573"/>
    <cellStyle name="Обычный 6 2 3 2 4 2 7 3" xfId="4198"/>
    <cellStyle name="Обычный 6 2 3 2 4 2 7 3 2" xfId="9316"/>
    <cellStyle name="Обычный 6 2 3 2 4 2 7 3 2 2" xfId="12574"/>
    <cellStyle name="Обычный 6 2 3 2 4 2 7 3 3" xfId="12575"/>
    <cellStyle name="Обычный 6 2 3 2 4 2 7 4" xfId="7260"/>
    <cellStyle name="Обычный 6 2 3 2 4 2 7 4 2" xfId="12576"/>
    <cellStyle name="Обычный 6 2 3 2 4 2 7 5" xfId="12577"/>
    <cellStyle name="Обычный 6 2 3 2 4 2 8" xfId="3000"/>
    <cellStyle name="Обычный 6 2 3 2 5" xfId="256"/>
    <cellStyle name="Обычный 6 2 3 2 5 2" xfId="257"/>
    <cellStyle name="Обычный 6 2 3 2 5 2 2" xfId="699"/>
    <cellStyle name="Обычный 6 2 3 2 5 2 2 2" xfId="1827"/>
    <cellStyle name="Обычный 6 2 3 2 5 2 2 2 2" xfId="4370"/>
    <cellStyle name="Обычный 6 2 3 2 5 2 2 2 2 2" xfId="9488"/>
    <cellStyle name="Обычный 6 2 3 2 5 2 2 2 2 2 2" xfId="12578"/>
    <cellStyle name="Обычный 6 2 3 2 5 2 2 2 2 3" xfId="12579"/>
    <cellStyle name="Обычный 6 2 3 2 5 2 2 2 3" xfId="7432"/>
    <cellStyle name="Обычный 6 2 3 2 5 2 2 2 3 2" xfId="12580"/>
    <cellStyle name="Обычный 6 2 3 2 5 2 2 2 4" xfId="12581"/>
    <cellStyle name="Обычный 6 2 3 2 5 2 2 3" xfId="3342"/>
    <cellStyle name="Обычный 6 2 3 2 5 2 2 3 2" xfId="8460"/>
    <cellStyle name="Обычный 6 2 3 2 5 2 2 3 2 2" xfId="12582"/>
    <cellStyle name="Обычный 6 2 3 2 5 2 2 3 3" xfId="12583"/>
    <cellStyle name="Обычный 6 2 3 2 5 2 2 4" xfId="6404"/>
    <cellStyle name="Обычный 6 2 3 2 5 2 2 4 2" xfId="12584"/>
    <cellStyle name="Обычный 6 2 3 2 5 2 2 5" xfId="12585"/>
    <cellStyle name="Обычный 6 2 3 2 5 2 3" xfId="886"/>
    <cellStyle name="Обычный 6 2 3 2 5 2 3 2" xfId="2005"/>
    <cellStyle name="Обычный 6 2 3 2 5 2 3 2 2" xfId="4543"/>
    <cellStyle name="Обычный 6 2 3 2 5 2 3 2 2 2" xfId="9661"/>
    <cellStyle name="Обычный 6 2 3 2 5 2 3 2 2 2 2" xfId="12586"/>
    <cellStyle name="Обычный 6 2 3 2 5 2 3 2 2 3" xfId="12587"/>
    <cellStyle name="Обычный 6 2 3 2 5 2 3 2 3" xfId="7605"/>
    <cellStyle name="Обычный 6 2 3 2 5 2 3 2 3 2" xfId="12588"/>
    <cellStyle name="Обычный 6 2 3 2 5 2 3 2 4" xfId="12589"/>
    <cellStyle name="Обычный 6 2 3 2 5 2 3 3" xfId="3515"/>
    <cellStyle name="Обычный 6 2 3 2 5 2 3 3 2" xfId="8633"/>
    <cellStyle name="Обычный 6 2 3 2 5 2 3 3 2 2" xfId="12590"/>
    <cellStyle name="Обычный 6 2 3 2 5 2 3 3 3" xfId="12591"/>
    <cellStyle name="Обычный 6 2 3 2 5 2 3 4" xfId="6577"/>
    <cellStyle name="Обычный 6 2 3 2 5 2 3 4 2" xfId="12592"/>
    <cellStyle name="Обычный 6 2 3 2 5 2 3 5" xfId="12593"/>
    <cellStyle name="Обычный 6 2 3 2 5 2 4" xfId="1057"/>
    <cellStyle name="Обычный 6 2 3 2 5 2 4 2" xfId="2176"/>
    <cellStyle name="Обычный 6 2 3 2 5 2 4 2 2" xfId="4714"/>
    <cellStyle name="Обычный 6 2 3 2 5 2 4 2 2 2" xfId="9832"/>
    <cellStyle name="Обычный 6 2 3 2 5 2 4 2 2 2 2" xfId="12594"/>
    <cellStyle name="Обычный 6 2 3 2 5 2 4 2 2 3" xfId="12595"/>
    <cellStyle name="Обычный 6 2 3 2 5 2 4 2 3" xfId="7776"/>
    <cellStyle name="Обычный 6 2 3 2 5 2 4 2 3 2" xfId="12596"/>
    <cellStyle name="Обычный 6 2 3 2 5 2 4 2 4" xfId="12597"/>
    <cellStyle name="Обычный 6 2 3 2 5 2 4 3" xfId="3686"/>
    <cellStyle name="Обычный 6 2 3 2 5 2 4 3 2" xfId="8804"/>
    <cellStyle name="Обычный 6 2 3 2 5 2 4 3 2 2" xfId="12598"/>
    <cellStyle name="Обычный 6 2 3 2 5 2 4 3 3" xfId="12599"/>
    <cellStyle name="Обычный 6 2 3 2 5 2 4 4" xfId="6748"/>
    <cellStyle name="Обычный 6 2 3 2 5 2 4 4 2" xfId="12600"/>
    <cellStyle name="Обычный 6 2 3 2 5 2 4 5" xfId="12601"/>
    <cellStyle name="Обычный 6 2 3 2 5 2 5" xfId="1238"/>
    <cellStyle name="Обычный 6 2 3 2 5 2 5 2" xfId="2347"/>
    <cellStyle name="Обычный 6 2 3 2 5 2 5 2 2" xfId="4885"/>
    <cellStyle name="Обычный 6 2 3 2 5 2 5 2 2 2" xfId="10003"/>
    <cellStyle name="Обычный 6 2 3 2 5 2 5 2 2 2 2" xfId="12602"/>
    <cellStyle name="Обычный 6 2 3 2 5 2 5 2 2 3" xfId="12603"/>
    <cellStyle name="Обычный 6 2 3 2 5 2 5 2 3" xfId="7947"/>
    <cellStyle name="Обычный 6 2 3 2 5 2 5 2 3 2" xfId="12604"/>
    <cellStyle name="Обычный 6 2 3 2 5 2 5 2 4" xfId="12605"/>
    <cellStyle name="Обычный 6 2 3 2 5 2 5 3" xfId="3857"/>
    <cellStyle name="Обычный 6 2 3 2 5 2 5 3 2" xfId="8975"/>
    <cellStyle name="Обычный 6 2 3 2 5 2 5 3 2 2" xfId="12606"/>
    <cellStyle name="Обычный 6 2 3 2 5 2 5 3 3" xfId="12607"/>
    <cellStyle name="Обычный 6 2 3 2 5 2 5 4" xfId="6919"/>
    <cellStyle name="Обычный 6 2 3 2 5 2 5 4 2" xfId="12608"/>
    <cellStyle name="Обычный 6 2 3 2 5 2 5 5" xfId="12609"/>
    <cellStyle name="Обычный 6 2 3 2 5 2 6" xfId="1412"/>
    <cellStyle name="Обычный 6 2 3 2 5 2 6 2" xfId="2518"/>
    <cellStyle name="Обычный 6 2 3 2 5 2 6 2 2" xfId="5056"/>
    <cellStyle name="Обычный 6 2 3 2 5 2 6 2 2 2" xfId="10174"/>
    <cellStyle name="Обычный 6 2 3 2 5 2 6 2 2 2 2" xfId="12610"/>
    <cellStyle name="Обычный 6 2 3 2 5 2 6 2 2 3" xfId="12611"/>
    <cellStyle name="Обычный 6 2 3 2 5 2 6 2 3" xfId="8118"/>
    <cellStyle name="Обычный 6 2 3 2 5 2 6 2 3 2" xfId="12612"/>
    <cellStyle name="Обычный 6 2 3 2 5 2 6 2 4" xfId="12613"/>
    <cellStyle name="Обычный 6 2 3 2 5 2 6 3" xfId="4028"/>
    <cellStyle name="Обычный 6 2 3 2 5 2 6 3 2" xfId="9146"/>
    <cellStyle name="Обычный 6 2 3 2 5 2 6 3 2 2" xfId="12614"/>
    <cellStyle name="Обычный 6 2 3 2 5 2 6 3 3" xfId="12615"/>
    <cellStyle name="Обычный 6 2 3 2 5 2 6 4" xfId="7090"/>
    <cellStyle name="Обычный 6 2 3 2 5 2 6 4 2" xfId="12616"/>
    <cellStyle name="Обычный 6 2 3 2 5 2 6 5" xfId="12617"/>
    <cellStyle name="Обычный 6 2 3 2 5 2 7" xfId="1583"/>
    <cellStyle name="Обычный 6 2 3 2 5 2 7 2" xfId="2689"/>
    <cellStyle name="Обычный 6 2 3 2 5 2 7 2 2" xfId="5227"/>
    <cellStyle name="Обычный 6 2 3 2 5 2 7 2 2 2" xfId="10345"/>
    <cellStyle name="Обычный 6 2 3 2 5 2 7 2 2 2 2" xfId="12618"/>
    <cellStyle name="Обычный 6 2 3 2 5 2 7 2 2 3" xfId="12619"/>
    <cellStyle name="Обычный 6 2 3 2 5 2 7 2 3" xfId="8289"/>
    <cellStyle name="Обычный 6 2 3 2 5 2 7 2 3 2" xfId="12620"/>
    <cellStyle name="Обычный 6 2 3 2 5 2 7 2 4" xfId="12621"/>
    <cellStyle name="Обычный 6 2 3 2 5 2 7 3" xfId="4199"/>
    <cellStyle name="Обычный 6 2 3 2 5 2 7 3 2" xfId="9317"/>
    <cellStyle name="Обычный 6 2 3 2 5 2 7 3 2 2" xfId="12622"/>
    <cellStyle name="Обычный 6 2 3 2 5 2 7 3 3" xfId="12623"/>
    <cellStyle name="Обычный 6 2 3 2 5 2 7 4" xfId="7261"/>
    <cellStyle name="Обычный 6 2 3 2 5 2 7 4 2" xfId="12624"/>
    <cellStyle name="Обычный 6 2 3 2 5 2 7 5" xfId="12625"/>
    <cellStyle name="Обычный 6 2 3 2 5 2 8" xfId="3001"/>
    <cellStyle name="Обычный 6 2 3 2 6" xfId="258"/>
    <cellStyle name="Обычный 6 2 3 2 6 2" xfId="700"/>
    <cellStyle name="Обычный 6 2 3 2 6 2 2" xfId="1828"/>
    <cellStyle name="Обычный 6 2 3 2 6 2 2 2" xfId="4371"/>
    <cellStyle name="Обычный 6 2 3 2 6 2 2 2 2" xfId="9489"/>
    <cellStyle name="Обычный 6 2 3 2 6 2 2 2 2 2" xfId="12626"/>
    <cellStyle name="Обычный 6 2 3 2 6 2 2 2 3" xfId="12627"/>
    <cellStyle name="Обычный 6 2 3 2 6 2 2 3" xfId="7433"/>
    <cellStyle name="Обычный 6 2 3 2 6 2 2 3 2" xfId="12628"/>
    <cellStyle name="Обычный 6 2 3 2 6 2 2 4" xfId="12629"/>
    <cellStyle name="Обычный 6 2 3 2 6 2 3" xfId="3343"/>
    <cellStyle name="Обычный 6 2 3 2 6 2 3 2" xfId="8461"/>
    <cellStyle name="Обычный 6 2 3 2 6 2 3 2 2" xfId="12630"/>
    <cellStyle name="Обычный 6 2 3 2 6 2 3 3" xfId="12631"/>
    <cellStyle name="Обычный 6 2 3 2 6 2 4" xfId="6405"/>
    <cellStyle name="Обычный 6 2 3 2 6 2 4 2" xfId="12632"/>
    <cellStyle name="Обычный 6 2 3 2 6 2 5" xfId="12633"/>
    <cellStyle name="Обычный 6 2 3 2 6 3" xfId="887"/>
    <cellStyle name="Обычный 6 2 3 2 6 3 2" xfId="2006"/>
    <cellStyle name="Обычный 6 2 3 2 6 3 2 2" xfId="4544"/>
    <cellStyle name="Обычный 6 2 3 2 6 3 2 2 2" xfId="9662"/>
    <cellStyle name="Обычный 6 2 3 2 6 3 2 2 2 2" xfId="12634"/>
    <cellStyle name="Обычный 6 2 3 2 6 3 2 2 3" xfId="12635"/>
    <cellStyle name="Обычный 6 2 3 2 6 3 2 3" xfId="7606"/>
    <cellStyle name="Обычный 6 2 3 2 6 3 2 3 2" xfId="12636"/>
    <cellStyle name="Обычный 6 2 3 2 6 3 2 4" xfId="12637"/>
    <cellStyle name="Обычный 6 2 3 2 6 3 3" xfId="3516"/>
    <cellStyle name="Обычный 6 2 3 2 6 3 3 2" xfId="8634"/>
    <cellStyle name="Обычный 6 2 3 2 6 3 3 2 2" xfId="12638"/>
    <cellStyle name="Обычный 6 2 3 2 6 3 3 3" xfId="12639"/>
    <cellStyle name="Обычный 6 2 3 2 6 3 4" xfId="6578"/>
    <cellStyle name="Обычный 6 2 3 2 6 3 4 2" xfId="12640"/>
    <cellStyle name="Обычный 6 2 3 2 6 3 5" xfId="12641"/>
    <cellStyle name="Обычный 6 2 3 2 6 4" xfId="1058"/>
    <cellStyle name="Обычный 6 2 3 2 6 4 2" xfId="2177"/>
    <cellStyle name="Обычный 6 2 3 2 6 4 2 2" xfId="4715"/>
    <cellStyle name="Обычный 6 2 3 2 6 4 2 2 2" xfId="9833"/>
    <cellStyle name="Обычный 6 2 3 2 6 4 2 2 2 2" xfId="12642"/>
    <cellStyle name="Обычный 6 2 3 2 6 4 2 2 3" xfId="12643"/>
    <cellStyle name="Обычный 6 2 3 2 6 4 2 3" xfId="7777"/>
    <cellStyle name="Обычный 6 2 3 2 6 4 2 3 2" xfId="12644"/>
    <cellStyle name="Обычный 6 2 3 2 6 4 2 4" xfId="12645"/>
    <cellStyle name="Обычный 6 2 3 2 6 4 3" xfId="3687"/>
    <cellStyle name="Обычный 6 2 3 2 6 4 3 2" xfId="8805"/>
    <cellStyle name="Обычный 6 2 3 2 6 4 3 2 2" xfId="12646"/>
    <cellStyle name="Обычный 6 2 3 2 6 4 3 3" xfId="12647"/>
    <cellStyle name="Обычный 6 2 3 2 6 4 4" xfId="6749"/>
    <cellStyle name="Обычный 6 2 3 2 6 4 4 2" xfId="12648"/>
    <cellStyle name="Обычный 6 2 3 2 6 4 5" xfId="12649"/>
    <cellStyle name="Обычный 6 2 3 2 6 5" xfId="1239"/>
    <cellStyle name="Обычный 6 2 3 2 6 5 2" xfId="2348"/>
    <cellStyle name="Обычный 6 2 3 2 6 5 2 2" xfId="4886"/>
    <cellStyle name="Обычный 6 2 3 2 6 5 2 2 2" xfId="10004"/>
    <cellStyle name="Обычный 6 2 3 2 6 5 2 2 2 2" xfId="12650"/>
    <cellStyle name="Обычный 6 2 3 2 6 5 2 2 3" xfId="12651"/>
    <cellStyle name="Обычный 6 2 3 2 6 5 2 3" xfId="7948"/>
    <cellStyle name="Обычный 6 2 3 2 6 5 2 3 2" xfId="12652"/>
    <cellStyle name="Обычный 6 2 3 2 6 5 2 4" xfId="12653"/>
    <cellStyle name="Обычный 6 2 3 2 6 5 3" xfId="3858"/>
    <cellStyle name="Обычный 6 2 3 2 6 5 3 2" xfId="8976"/>
    <cellStyle name="Обычный 6 2 3 2 6 5 3 2 2" xfId="12654"/>
    <cellStyle name="Обычный 6 2 3 2 6 5 3 3" xfId="12655"/>
    <cellStyle name="Обычный 6 2 3 2 6 5 4" xfId="6920"/>
    <cellStyle name="Обычный 6 2 3 2 6 5 4 2" xfId="12656"/>
    <cellStyle name="Обычный 6 2 3 2 6 5 5" xfId="12657"/>
    <cellStyle name="Обычный 6 2 3 2 6 6" xfId="1413"/>
    <cellStyle name="Обычный 6 2 3 2 6 6 2" xfId="2519"/>
    <cellStyle name="Обычный 6 2 3 2 6 6 2 2" xfId="5057"/>
    <cellStyle name="Обычный 6 2 3 2 6 6 2 2 2" xfId="10175"/>
    <cellStyle name="Обычный 6 2 3 2 6 6 2 2 2 2" xfId="12658"/>
    <cellStyle name="Обычный 6 2 3 2 6 6 2 2 3" xfId="12659"/>
    <cellStyle name="Обычный 6 2 3 2 6 6 2 3" xfId="8119"/>
    <cellStyle name="Обычный 6 2 3 2 6 6 2 3 2" xfId="12660"/>
    <cellStyle name="Обычный 6 2 3 2 6 6 2 4" xfId="12661"/>
    <cellStyle name="Обычный 6 2 3 2 6 6 3" xfId="4029"/>
    <cellStyle name="Обычный 6 2 3 2 6 6 3 2" xfId="9147"/>
    <cellStyle name="Обычный 6 2 3 2 6 6 3 2 2" xfId="12662"/>
    <cellStyle name="Обычный 6 2 3 2 6 6 3 3" xfId="12663"/>
    <cellStyle name="Обычный 6 2 3 2 6 6 4" xfId="7091"/>
    <cellStyle name="Обычный 6 2 3 2 6 6 4 2" xfId="12664"/>
    <cellStyle name="Обычный 6 2 3 2 6 6 5" xfId="12665"/>
    <cellStyle name="Обычный 6 2 3 2 6 7" xfId="1584"/>
    <cellStyle name="Обычный 6 2 3 2 6 7 2" xfId="2690"/>
    <cellStyle name="Обычный 6 2 3 2 6 7 2 2" xfId="5228"/>
    <cellStyle name="Обычный 6 2 3 2 6 7 2 2 2" xfId="10346"/>
    <cellStyle name="Обычный 6 2 3 2 6 7 2 2 2 2" xfId="12666"/>
    <cellStyle name="Обычный 6 2 3 2 6 7 2 2 3" xfId="12667"/>
    <cellStyle name="Обычный 6 2 3 2 6 7 2 3" xfId="8290"/>
    <cellStyle name="Обычный 6 2 3 2 6 7 2 3 2" xfId="12668"/>
    <cellStyle name="Обычный 6 2 3 2 6 7 2 4" xfId="12669"/>
    <cellStyle name="Обычный 6 2 3 2 6 7 3" xfId="4200"/>
    <cellStyle name="Обычный 6 2 3 2 6 7 3 2" xfId="9318"/>
    <cellStyle name="Обычный 6 2 3 2 6 7 3 2 2" xfId="12670"/>
    <cellStyle name="Обычный 6 2 3 2 6 7 3 3" xfId="12671"/>
    <cellStyle name="Обычный 6 2 3 2 6 7 4" xfId="7262"/>
    <cellStyle name="Обычный 6 2 3 2 6 7 4 2" xfId="12672"/>
    <cellStyle name="Обычный 6 2 3 2 6 7 5" xfId="12673"/>
    <cellStyle name="Обычный 6 2 3 2 6 8" xfId="3002"/>
    <cellStyle name="Обычный 6 2 3 3" xfId="259"/>
    <cellStyle name="Обычный 6 2 3 3 2" xfId="260"/>
    <cellStyle name="Обычный 6 2 3 3 2 2" xfId="261"/>
    <cellStyle name="Обычный 6 2 3 3 2 2 2" xfId="262"/>
    <cellStyle name="Обычный 6 2 3 3 2 2 2 2" xfId="701"/>
    <cellStyle name="Обычный 6 2 3 3 2 2 2 2 2" xfId="1829"/>
    <cellStyle name="Обычный 6 2 3 3 2 2 2 2 2 2" xfId="4372"/>
    <cellStyle name="Обычный 6 2 3 3 2 2 2 2 2 2 2" xfId="9490"/>
    <cellStyle name="Обычный 6 2 3 3 2 2 2 2 2 2 2 2" xfId="12674"/>
    <cellStyle name="Обычный 6 2 3 3 2 2 2 2 2 2 3" xfId="12675"/>
    <cellStyle name="Обычный 6 2 3 3 2 2 2 2 2 3" xfId="7434"/>
    <cellStyle name="Обычный 6 2 3 3 2 2 2 2 2 3 2" xfId="12676"/>
    <cellStyle name="Обычный 6 2 3 3 2 2 2 2 2 4" xfId="12677"/>
    <cellStyle name="Обычный 6 2 3 3 2 2 2 2 3" xfId="3344"/>
    <cellStyle name="Обычный 6 2 3 3 2 2 2 2 3 2" xfId="8462"/>
    <cellStyle name="Обычный 6 2 3 3 2 2 2 2 3 2 2" xfId="12678"/>
    <cellStyle name="Обычный 6 2 3 3 2 2 2 2 3 3" xfId="12679"/>
    <cellStyle name="Обычный 6 2 3 3 2 2 2 2 4" xfId="6406"/>
    <cellStyle name="Обычный 6 2 3 3 2 2 2 2 4 2" xfId="12680"/>
    <cellStyle name="Обычный 6 2 3 3 2 2 2 2 5" xfId="12681"/>
    <cellStyle name="Обычный 6 2 3 3 2 2 2 3" xfId="888"/>
    <cellStyle name="Обычный 6 2 3 3 2 2 2 3 2" xfId="2007"/>
    <cellStyle name="Обычный 6 2 3 3 2 2 2 3 2 2" xfId="4545"/>
    <cellStyle name="Обычный 6 2 3 3 2 2 2 3 2 2 2" xfId="9663"/>
    <cellStyle name="Обычный 6 2 3 3 2 2 2 3 2 2 2 2" xfId="12682"/>
    <cellStyle name="Обычный 6 2 3 3 2 2 2 3 2 2 3" xfId="12683"/>
    <cellStyle name="Обычный 6 2 3 3 2 2 2 3 2 3" xfId="7607"/>
    <cellStyle name="Обычный 6 2 3 3 2 2 2 3 2 3 2" xfId="12684"/>
    <cellStyle name="Обычный 6 2 3 3 2 2 2 3 2 4" xfId="12685"/>
    <cellStyle name="Обычный 6 2 3 3 2 2 2 3 3" xfId="3517"/>
    <cellStyle name="Обычный 6 2 3 3 2 2 2 3 3 2" xfId="8635"/>
    <cellStyle name="Обычный 6 2 3 3 2 2 2 3 3 2 2" xfId="12686"/>
    <cellStyle name="Обычный 6 2 3 3 2 2 2 3 3 3" xfId="12687"/>
    <cellStyle name="Обычный 6 2 3 3 2 2 2 3 4" xfId="6579"/>
    <cellStyle name="Обычный 6 2 3 3 2 2 2 3 4 2" xfId="12688"/>
    <cellStyle name="Обычный 6 2 3 3 2 2 2 3 5" xfId="12689"/>
    <cellStyle name="Обычный 6 2 3 3 2 2 2 4" xfId="1059"/>
    <cellStyle name="Обычный 6 2 3 3 2 2 2 4 2" xfId="2178"/>
    <cellStyle name="Обычный 6 2 3 3 2 2 2 4 2 2" xfId="4716"/>
    <cellStyle name="Обычный 6 2 3 3 2 2 2 4 2 2 2" xfId="9834"/>
    <cellStyle name="Обычный 6 2 3 3 2 2 2 4 2 2 2 2" xfId="12690"/>
    <cellStyle name="Обычный 6 2 3 3 2 2 2 4 2 2 3" xfId="12691"/>
    <cellStyle name="Обычный 6 2 3 3 2 2 2 4 2 3" xfId="7778"/>
    <cellStyle name="Обычный 6 2 3 3 2 2 2 4 2 3 2" xfId="12692"/>
    <cellStyle name="Обычный 6 2 3 3 2 2 2 4 2 4" xfId="12693"/>
    <cellStyle name="Обычный 6 2 3 3 2 2 2 4 3" xfId="3688"/>
    <cellStyle name="Обычный 6 2 3 3 2 2 2 4 3 2" xfId="8806"/>
    <cellStyle name="Обычный 6 2 3 3 2 2 2 4 3 2 2" xfId="12694"/>
    <cellStyle name="Обычный 6 2 3 3 2 2 2 4 3 3" xfId="12695"/>
    <cellStyle name="Обычный 6 2 3 3 2 2 2 4 4" xfId="6750"/>
    <cellStyle name="Обычный 6 2 3 3 2 2 2 4 4 2" xfId="12696"/>
    <cellStyle name="Обычный 6 2 3 3 2 2 2 4 5" xfId="12697"/>
    <cellStyle name="Обычный 6 2 3 3 2 2 2 5" xfId="1240"/>
    <cellStyle name="Обычный 6 2 3 3 2 2 2 5 2" xfId="2349"/>
    <cellStyle name="Обычный 6 2 3 3 2 2 2 5 2 2" xfId="4887"/>
    <cellStyle name="Обычный 6 2 3 3 2 2 2 5 2 2 2" xfId="10005"/>
    <cellStyle name="Обычный 6 2 3 3 2 2 2 5 2 2 2 2" xfId="12698"/>
    <cellStyle name="Обычный 6 2 3 3 2 2 2 5 2 2 3" xfId="12699"/>
    <cellStyle name="Обычный 6 2 3 3 2 2 2 5 2 3" xfId="7949"/>
    <cellStyle name="Обычный 6 2 3 3 2 2 2 5 2 3 2" xfId="12700"/>
    <cellStyle name="Обычный 6 2 3 3 2 2 2 5 2 4" xfId="12701"/>
    <cellStyle name="Обычный 6 2 3 3 2 2 2 5 3" xfId="3859"/>
    <cellStyle name="Обычный 6 2 3 3 2 2 2 5 3 2" xfId="8977"/>
    <cellStyle name="Обычный 6 2 3 3 2 2 2 5 3 2 2" xfId="12702"/>
    <cellStyle name="Обычный 6 2 3 3 2 2 2 5 3 3" xfId="12703"/>
    <cellStyle name="Обычный 6 2 3 3 2 2 2 5 4" xfId="6921"/>
    <cellStyle name="Обычный 6 2 3 3 2 2 2 5 4 2" xfId="12704"/>
    <cellStyle name="Обычный 6 2 3 3 2 2 2 5 5" xfId="12705"/>
    <cellStyle name="Обычный 6 2 3 3 2 2 2 6" xfId="1414"/>
    <cellStyle name="Обычный 6 2 3 3 2 2 2 6 2" xfId="2520"/>
    <cellStyle name="Обычный 6 2 3 3 2 2 2 6 2 2" xfId="5058"/>
    <cellStyle name="Обычный 6 2 3 3 2 2 2 6 2 2 2" xfId="10176"/>
    <cellStyle name="Обычный 6 2 3 3 2 2 2 6 2 2 2 2" xfId="12706"/>
    <cellStyle name="Обычный 6 2 3 3 2 2 2 6 2 2 3" xfId="12707"/>
    <cellStyle name="Обычный 6 2 3 3 2 2 2 6 2 3" xfId="8120"/>
    <cellStyle name="Обычный 6 2 3 3 2 2 2 6 2 3 2" xfId="12708"/>
    <cellStyle name="Обычный 6 2 3 3 2 2 2 6 2 4" xfId="12709"/>
    <cellStyle name="Обычный 6 2 3 3 2 2 2 6 3" xfId="4030"/>
    <cellStyle name="Обычный 6 2 3 3 2 2 2 6 3 2" xfId="9148"/>
    <cellStyle name="Обычный 6 2 3 3 2 2 2 6 3 2 2" xfId="12710"/>
    <cellStyle name="Обычный 6 2 3 3 2 2 2 6 3 3" xfId="12711"/>
    <cellStyle name="Обычный 6 2 3 3 2 2 2 6 4" xfId="7092"/>
    <cellStyle name="Обычный 6 2 3 3 2 2 2 6 4 2" xfId="12712"/>
    <cellStyle name="Обычный 6 2 3 3 2 2 2 6 5" xfId="12713"/>
    <cellStyle name="Обычный 6 2 3 3 2 2 2 7" xfId="1585"/>
    <cellStyle name="Обычный 6 2 3 3 2 2 2 7 2" xfId="2691"/>
    <cellStyle name="Обычный 6 2 3 3 2 2 2 7 2 2" xfId="5229"/>
    <cellStyle name="Обычный 6 2 3 3 2 2 2 7 2 2 2" xfId="10347"/>
    <cellStyle name="Обычный 6 2 3 3 2 2 2 7 2 2 2 2" xfId="12714"/>
    <cellStyle name="Обычный 6 2 3 3 2 2 2 7 2 2 3" xfId="12715"/>
    <cellStyle name="Обычный 6 2 3 3 2 2 2 7 2 3" xfId="8291"/>
    <cellStyle name="Обычный 6 2 3 3 2 2 2 7 2 3 2" xfId="12716"/>
    <cellStyle name="Обычный 6 2 3 3 2 2 2 7 2 4" xfId="12717"/>
    <cellStyle name="Обычный 6 2 3 3 2 2 2 7 3" xfId="4201"/>
    <cellStyle name="Обычный 6 2 3 3 2 2 2 7 3 2" xfId="9319"/>
    <cellStyle name="Обычный 6 2 3 3 2 2 2 7 3 2 2" xfId="12718"/>
    <cellStyle name="Обычный 6 2 3 3 2 2 2 7 3 3" xfId="12719"/>
    <cellStyle name="Обычный 6 2 3 3 2 2 2 7 4" xfId="7263"/>
    <cellStyle name="Обычный 6 2 3 3 2 2 2 7 4 2" xfId="12720"/>
    <cellStyle name="Обычный 6 2 3 3 2 2 2 7 5" xfId="12721"/>
    <cellStyle name="Обычный 6 2 3 3 2 2 2 8" xfId="3003"/>
    <cellStyle name="Обычный 6 2 3 3 2 3" xfId="263"/>
    <cellStyle name="Обычный 6 2 3 3 2 3 2" xfId="264"/>
    <cellStyle name="Обычный 6 2 3 3 2 3 2 2" xfId="702"/>
    <cellStyle name="Обычный 6 2 3 3 2 3 2 2 2" xfId="1830"/>
    <cellStyle name="Обычный 6 2 3 3 2 3 2 2 2 2" xfId="4373"/>
    <cellStyle name="Обычный 6 2 3 3 2 3 2 2 2 2 2" xfId="9491"/>
    <cellStyle name="Обычный 6 2 3 3 2 3 2 2 2 2 2 2" xfId="12722"/>
    <cellStyle name="Обычный 6 2 3 3 2 3 2 2 2 2 3" xfId="12723"/>
    <cellStyle name="Обычный 6 2 3 3 2 3 2 2 2 3" xfId="7435"/>
    <cellStyle name="Обычный 6 2 3 3 2 3 2 2 2 3 2" xfId="12724"/>
    <cellStyle name="Обычный 6 2 3 3 2 3 2 2 2 4" xfId="12725"/>
    <cellStyle name="Обычный 6 2 3 3 2 3 2 2 3" xfId="3345"/>
    <cellStyle name="Обычный 6 2 3 3 2 3 2 2 3 2" xfId="8463"/>
    <cellStyle name="Обычный 6 2 3 3 2 3 2 2 3 2 2" xfId="12726"/>
    <cellStyle name="Обычный 6 2 3 3 2 3 2 2 3 3" xfId="12727"/>
    <cellStyle name="Обычный 6 2 3 3 2 3 2 2 4" xfId="6407"/>
    <cellStyle name="Обычный 6 2 3 3 2 3 2 2 4 2" xfId="12728"/>
    <cellStyle name="Обычный 6 2 3 3 2 3 2 2 5" xfId="12729"/>
    <cellStyle name="Обычный 6 2 3 3 2 3 2 3" xfId="889"/>
    <cellStyle name="Обычный 6 2 3 3 2 3 2 3 2" xfId="2008"/>
    <cellStyle name="Обычный 6 2 3 3 2 3 2 3 2 2" xfId="4546"/>
    <cellStyle name="Обычный 6 2 3 3 2 3 2 3 2 2 2" xfId="9664"/>
    <cellStyle name="Обычный 6 2 3 3 2 3 2 3 2 2 2 2" xfId="12730"/>
    <cellStyle name="Обычный 6 2 3 3 2 3 2 3 2 2 3" xfId="12731"/>
    <cellStyle name="Обычный 6 2 3 3 2 3 2 3 2 3" xfId="7608"/>
    <cellStyle name="Обычный 6 2 3 3 2 3 2 3 2 3 2" xfId="12732"/>
    <cellStyle name="Обычный 6 2 3 3 2 3 2 3 2 4" xfId="12733"/>
    <cellStyle name="Обычный 6 2 3 3 2 3 2 3 3" xfId="3518"/>
    <cellStyle name="Обычный 6 2 3 3 2 3 2 3 3 2" xfId="8636"/>
    <cellStyle name="Обычный 6 2 3 3 2 3 2 3 3 2 2" xfId="12734"/>
    <cellStyle name="Обычный 6 2 3 3 2 3 2 3 3 3" xfId="12735"/>
    <cellStyle name="Обычный 6 2 3 3 2 3 2 3 4" xfId="6580"/>
    <cellStyle name="Обычный 6 2 3 3 2 3 2 3 4 2" xfId="12736"/>
    <cellStyle name="Обычный 6 2 3 3 2 3 2 3 5" xfId="12737"/>
    <cellStyle name="Обычный 6 2 3 3 2 3 2 4" xfId="1060"/>
    <cellStyle name="Обычный 6 2 3 3 2 3 2 4 2" xfId="2179"/>
    <cellStyle name="Обычный 6 2 3 3 2 3 2 4 2 2" xfId="4717"/>
    <cellStyle name="Обычный 6 2 3 3 2 3 2 4 2 2 2" xfId="9835"/>
    <cellStyle name="Обычный 6 2 3 3 2 3 2 4 2 2 2 2" xfId="12738"/>
    <cellStyle name="Обычный 6 2 3 3 2 3 2 4 2 2 3" xfId="12739"/>
    <cellStyle name="Обычный 6 2 3 3 2 3 2 4 2 3" xfId="7779"/>
    <cellStyle name="Обычный 6 2 3 3 2 3 2 4 2 3 2" xfId="12740"/>
    <cellStyle name="Обычный 6 2 3 3 2 3 2 4 2 4" xfId="12741"/>
    <cellStyle name="Обычный 6 2 3 3 2 3 2 4 3" xfId="3689"/>
    <cellStyle name="Обычный 6 2 3 3 2 3 2 4 3 2" xfId="8807"/>
    <cellStyle name="Обычный 6 2 3 3 2 3 2 4 3 2 2" xfId="12742"/>
    <cellStyle name="Обычный 6 2 3 3 2 3 2 4 3 3" xfId="12743"/>
    <cellStyle name="Обычный 6 2 3 3 2 3 2 4 4" xfId="6751"/>
    <cellStyle name="Обычный 6 2 3 3 2 3 2 4 4 2" xfId="12744"/>
    <cellStyle name="Обычный 6 2 3 3 2 3 2 4 5" xfId="12745"/>
    <cellStyle name="Обычный 6 2 3 3 2 3 2 5" xfId="1241"/>
    <cellStyle name="Обычный 6 2 3 3 2 3 2 5 2" xfId="2350"/>
    <cellStyle name="Обычный 6 2 3 3 2 3 2 5 2 2" xfId="4888"/>
    <cellStyle name="Обычный 6 2 3 3 2 3 2 5 2 2 2" xfId="10006"/>
    <cellStyle name="Обычный 6 2 3 3 2 3 2 5 2 2 2 2" xfId="12746"/>
    <cellStyle name="Обычный 6 2 3 3 2 3 2 5 2 2 3" xfId="12747"/>
    <cellStyle name="Обычный 6 2 3 3 2 3 2 5 2 3" xfId="7950"/>
    <cellStyle name="Обычный 6 2 3 3 2 3 2 5 2 3 2" xfId="12748"/>
    <cellStyle name="Обычный 6 2 3 3 2 3 2 5 2 4" xfId="12749"/>
    <cellStyle name="Обычный 6 2 3 3 2 3 2 5 3" xfId="3860"/>
    <cellStyle name="Обычный 6 2 3 3 2 3 2 5 3 2" xfId="8978"/>
    <cellStyle name="Обычный 6 2 3 3 2 3 2 5 3 2 2" xfId="12750"/>
    <cellStyle name="Обычный 6 2 3 3 2 3 2 5 3 3" xfId="12751"/>
    <cellStyle name="Обычный 6 2 3 3 2 3 2 5 4" xfId="6922"/>
    <cellStyle name="Обычный 6 2 3 3 2 3 2 5 4 2" xfId="12752"/>
    <cellStyle name="Обычный 6 2 3 3 2 3 2 5 5" xfId="12753"/>
    <cellStyle name="Обычный 6 2 3 3 2 3 2 6" xfId="1415"/>
    <cellStyle name="Обычный 6 2 3 3 2 3 2 6 2" xfId="2521"/>
    <cellStyle name="Обычный 6 2 3 3 2 3 2 6 2 2" xfId="5059"/>
    <cellStyle name="Обычный 6 2 3 3 2 3 2 6 2 2 2" xfId="10177"/>
    <cellStyle name="Обычный 6 2 3 3 2 3 2 6 2 2 2 2" xfId="12754"/>
    <cellStyle name="Обычный 6 2 3 3 2 3 2 6 2 2 3" xfId="12755"/>
    <cellStyle name="Обычный 6 2 3 3 2 3 2 6 2 3" xfId="8121"/>
    <cellStyle name="Обычный 6 2 3 3 2 3 2 6 2 3 2" xfId="12756"/>
    <cellStyle name="Обычный 6 2 3 3 2 3 2 6 2 4" xfId="12757"/>
    <cellStyle name="Обычный 6 2 3 3 2 3 2 6 3" xfId="4031"/>
    <cellStyle name="Обычный 6 2 3 3 2 3 2 6 3 2" xfId="9149"/>
    <cellStyle name="Обычный 6 2 3 3 2 3 2 6 3 2 2" xfId="12758"/>
    <cellStyle name="Обычный 6 2 3 3 2 3 2 6 3 3" xfId="12759"/>
    <cellStyle name="Обычный 6 2 3 3 2 3 2 6 4" xfId="7093"/>
    <cellStyle name="Обычный 6 2 3 3 2 3 2 6 4 2" xfId="12760"/>
    <cellStyle name="Обычный 6 2 3 3 2 3 2 6 5" xfId="12761"/>
    <cellStyle name="Обычный 6 2 3 3 2 3 2 7" xfId="1586"/>
    <cellStyle name="Обычный 6 2 3 3 2 3 2 7 2" xfId="2692"/>
    <cellStyle name="Обычный 6 2 3 3 2 3 2 7 2 2" xfId="5230"/>
    <cellStyle name="Обычный 6 2 3 3 2 3 2 7 2 2 2" xfId="10348"/>
    <cellStyle name="Обычный 6 2 3 3 2 3 2 7 2 2 2 2" xfId="12762"/>
    <cellStyle name="Обычный 6 2 3 3 2 3 2 7 2 2 3" xfId="12763"/>
    <cellStyle name="Обычный 6 2 3 3 2 3 2 7 2 3" xfId="8292"/>
    <cellStyle name="Обычный 6 2 3 3 2 3 2 7 2 3 2" xfId="12764"/>
    <cellStyle name="Обычный 6 2 3 3 2 3 2 7 2 4" xfId="12765"/>
    <cellStyle name="Обычный 6 2 3 3 2 3 2 7 3" xfId="4202"/>
    <cellStyle name="Обычный 6 2 3 3 2 3 2 7 3 2" xfId="9320"/>
    <cellStyle name="Обычный 6 2 3 3 2 3 2 7 3 2 2" xfId="12766"/>
    <cellStyle name="Обычный 6 2 3 3 2 3 2 7 3 3" xfId="12767"/>
    <cellStyle name="Обычный 6 2 3 3 2 3 2 7 4" xfId="7264"/>
    <cellStyle name="Обычный 6 2 3 3 2 3 2 7 4 2" xfId="12768"/>
    <cellStyle name="Обычный 6 2 3 3 2 3 2 7 5" xfId="12769"/>
    <cellStyle name="Обычный 6 2 3 3 2 3 2 8" xfId="3004"/>
    <cellStyle name="Обычный 6 2 3 3 2 4" xfId="265"/>
    <cellStyle name="Обычный 6 2 3 3 2 4 2" xfId="703"/>
    <cellStyle name="Обычный 6 2 3 3 2 4 2 2" xfId="1831"/>
    <cellStyle name="Обычный 6 2 3 3 2 4 2 2 2" xfId="4374"/>
    <cellStyle name="Обычный 6 2 3 3 2 4 2 2 2 2" xfId="9492"/>
    <cellStyle name="Обычный 6 2 3 3 2 4 2 2 2 2 2" xfId="12770"/>
    <cellStyle name="Обычный 6 2 3 3 2 4 2 2 2 3" xfId="12771"/>
    <cellStyle name="Обычный 6 2 3 3 2 4 2 2 3" xfId="7436"/>
    <cellStyle name="Обычный 6 2 3 3 2 4 2 2 3 2" xfId="12772"/>
    <cellStyle name="Обычный 6 2 3 3 2 4 2 2 4" xfId="12773"/>
    <cellStyle name="Обычный 6 2 3 3 2 4 2 3" xfId="3346"/>
    <cellStyle name="Обычный 6 2 3 3 2 4 2 3 2" xfId="8464"/>
    <cellStyle name="Обычный 6 2 3 3 2 4 2 3 2 2" xfId="12774"/>
    <cellStyle name="Обычный 6 2 3 3 2 4 2 3 3" xfId="12775"/>
    <cellStyle name="Обычный 6 2 3 3 2 4 2 4" xfId="6408"/>
    <cellStyle name="Обычный 6 2 3 3 2 4 2 4 2" xfId="12776"/>
    <cellStyle name="Обычный 6 2 3 3 2 4 2 5" xfId="12777"/>
    <cellStyle name="Обычный 6 2 3 3 2 4 3" xfId="890"/>
    <cellStyle name="Обычный 6 2 3 3 2 4 3 2" xfId="2009"/>
    <cellStyle name="Обычный 6 2 3 3 2 4 3 2 2" xfId="4547"/>
    <cellStyle name="Обычный 6 2 3 3 2 4 3 2 2 2" xfId="9665"/>
    <cellStyle name="Обычный 6 2 3 3 2 4 3 2 2 2 2" xfId="12778"/>
    <cellStyle name="Обычный 6 2 3 3 2 4 3 2 2 3" xfId="12779"/>
    <cellStyle name="Обычный 6 2 3 3 2 4 3 2 3" xfId="7609"/>
    <cellStyle name="Обычный 6 2 3 3 2 4 3 2 3 2" xfId="12780"/>
    <cellStyle name="Обычный 6 2 3 3 2 4 3 2 4" xfId="12781"/>
    <cellStyle name="Обычный 6 2 3 3 2 4 3 3" xfId="3519"/>
    <cellStyle name="Обычный 6 2 3 3 2 4 3 3 2" xfId="8637"/>
    <cellStyle name="Обычный 6 2 3 3 2 4 3 3 2 2" xfId="12782"/>
    <cellStyle name="Обычный 6 2 3 3 2 4 3 3 3" xfId="12783"/>
    <cellStyle name="Обычный 6 2 3 3 2 4 3 4" xfId="6581"/>
    <cellStyle name="Обычный 6 2 3 3 2 4 3 4 2" xfId="12784"/>
    <cellStyle name="Обычный 6 2 3 3 2 4 3 5" xfId="12785"/>
    <cellStyle name="Обычный 6 2 3 3 2 4 4" xfId="1061"/>
    <cellStyle name="Обычный 6 2 3 3 2 4 4 2" xfId="2180"/>
    <cellStyle name="Обычный 6 2 3 3 2 4 4 2 2" xfId="4718"/>
    <cellStyle name="Обычный 6 2 3 3 2 4 4 2 2 2" xfId="9836"/>
    <cellStyle name="Обычный 6 2 3 3 2 4 4 2 2 2 2" xfId="12786"/>
    <cellStyle name="Обычный 6 2 3 3 2 4 4 2 2 3" xfId="12787"/>
    <cellStyle name="Обычный 6 2 3 3 2 4 4 2 3" xfId="7780"/>
    <cellStyle name="Обычный 6 2 3 3 2 4 4 2 3 2" xfId="12788"/>
    <cellStyle name="Обычный 6 2 3 3 2 4 4 2 4" xfId="12789"/>
    <cellStyle name="Обычный 6 2 3 3 2 4 4 3" xfId="3690"/>
    <cellStyle name="Обычный 6 2 3 3 2 4 4 3 2" xfId="8808"/>
    <cellStyle name="Обычный 6 2 3 3 2 4 4 3 2 2" xfId="12790"/>
    <cellStyle name="Обычный 6 2 3 3 2 4 4 3 3" xfId="12791"/>
    <cellStyle name="Обычный 6 2 3 3 2 4 4 4" xfId="6752"/>
    <cellStyle name="Обычный 6 2 3 3 2 4 4 4 2" xfId="12792"/>
    <cellStyle name="Обычный 6 2 3 3 2 4 4 5" xfId="12793"/>
    <cellStyle name="Обычный 6 2 3 3 2 4 5" xfId="1242"/>
    <cellStyle name="Обычный 6 2 3 3 2 4 5 2" xfId="2351"/>
    <cellStyle name="Обычный 6 2 3 3 2 4 5 2 2" xfId="4889"/>
    <cellStyle name="Обычный 6 2 3 3 2 4 5 2 2 2" xfId="10007"/>
    <cellStyle name="Обычный 6 2 3 3 2 4 5 2 2 2 2" xfId="12794"/>
    <cellStyle name="Обычный 6 2 3 3 2 4 5 2 2 3" xfId="12795"/>
    <cellStyle name="Обычный 6 2 3 3 2 4 5 2 3" xfId="7951"/>
    <cellStyle name="Обычный 6 2 3 3 2 4 5 2 3 2" xfId="12796"/>
    <cellStyle name="Обычный 6 2 3 3 2 4 5 2 4" xfId="12797"/>
    <cellStyle name="Обычный 6 2 3 3 2 4 5 3" xfId="3861"/>
    <cellStyle name="Обычный 6 2 3 3 2 4 5 3 2" xfId="8979"/>
    <cellStyle name="Обычный 6 2 3 3 2 4 5 3 2 2" xfId="12798"/>
    <cellStyle name="Обычный 6 2 3 3 2 4 5 3 3" xfId="12799"/>
    <cellStyle name="Обычный 6 2 3 3 2 4 5 4" xfId="6923"/>
    <cellStyle name="Обычный 6 2 3 3 2 4 5 4 2" xfId="12800"/>
    <cellStyle name="Обычный 6 2 3 3 2 4 5 5" xfId="12801"/>
    <cellStyle name="Обычный 6 2 3 3 2 4 6" xfId="1416"/>
    <cellStyle name="Обычный 6 2 3 3 2 4 6 2" xfId="2522"/>
    <cellStyle name="Обычный 6 2 3 3 2 4 6 2 2" xfId="5060"/>
    <cellStyle name="Обычный 6 2 3 3 2 4 6 2 2 2" xfId="10178"/>
    <cellStyle name="Обычный 6 2 3 3 2 4 6 2 2 2 2" xfId="12802"/>
    <cellStyle name="Обычный 6 2 3 3 2 4 6 2 2 3" xfId="12803"/>
    <cellStyle name="Обычный 6 2 3 3 2 4 6 2 3" xfId="8122"/>
    <cellStyle name="Обычный 6 2 3 3 2 4 6 2 3 2" xfId="12804"/>
    <cellStyle name="Обычный 6 2 3 3 2 4 6 2 4" xfId="12805"/>
    <cellStyle name="Обычный 6 2 3 3 2 4 6 3" xfId="4032"/>
    <cellStyle name="Обычный 6 2 3 3 2 4 6 3 2" xfId="9150"/>
    <cellStyle name="Обычный 6 2 3 3 2 4 6 3 2 2" xfId="12806"/>
    <cellStyle name="Обычный 6 2 3 3 2 4 6 3 3" xfId="12807"/>
    <cellStyle name="Обычный 6 2 3 3 2 4 6 4" xfId="7094"/>
    <cellStyle name="Обычный 6 2 3 3 2 4 6 4 2" xfId="12808"/>
    <cellStyle name="Обычный 6 2 3 3 2 4 6 5" xfId="12809"/>
    <cellStyle name="Обычный 6 2 3 3 2 4 7" xfId="1587"/>
    <cellStyle name="Обычный 6 2 3 3 2 4 7 2" xfId="2693"/>
    <cellStyle name="Обычный 6 2 3 3 2 4 7 2 2" xfId="5231"/>
    <cellStyle name="Обычный 6 2 3 3 2 4 7 2 2 2" xfId="10349"/>
    <cellStyle name="Обычный 6 2 3 3 2 4 7 2 2 2 2" xfId="12810"/>
    <cellStyle name="Обычный 6 2 3 3 2 4 7 2 2 3" xfId="12811"/>
    <cellStyle name="Обычный 6 2 3 3 2 4 7 2 3" xfId="8293"/>
    <cellStyle name="Обычный 6 2 3 3 2 4 7 2 3 2" xfId="12812"/>
    <cellStyle name="Обычный 6 2 3 3 2 4 7 2 4" xfId="12813"/>
    <cellStyle name="Обычный 6 2 3 3 2 4 7 3" xfId="4203"/>
    <cellStyle name="Обычный 6 2 3 3 2 4 7 3 2" xfId="9321"/>
    <cellStyle name="Обычный 6 2 3 3 2 4 7 3 2 2" xfId="12814"/>
    <cellStyle name="Обычный 6 2 3 3 2 4 7 3 3" xfId="12815"/>
    <cellStyle name="Обычный 6 2 3 3 2 4 7 4" xfId="7265"/>
    <cellStyle name="Обычный 6 2 3 3 2 4 7 4 2" xfId="12816"/>
    <cellStyle name="Обычный 6 2 3 3 2 4 7 5" xfId="12817"/>
    <cellStyle name="Обычный 6 2 3 3 2 4 8" xfId="3005"/>
    <cellStyle name="Обычный 6 2 3 3 3" xfId="266"/>
    <cellStyle name="Обычный 6 2 3 3 3 2" xfId="267"/>
    <cellStyle name="Обычный 6 2 3 3 3 2 2" xfId="704"/>
    <cellStyle name="Обычный 6 2 3 3 3 2 2 2" xfId="1832"/>
    <cellStyle name="Обычный 6 2 3 3 3 2 2 2 2" xfId="4375"/>
    <cellStyle name="Обычный 6 2 3 3 3 2 2 2 2 2" xfId="9493"/>
    <cellStyle name="Обычный 6 2 3 3 3 2 2 2 2 2 2" xfId="12818"/>
    <cellStyle name="Обычный 6 2 3 3 3 2 2 2 2 3" xfId="12819"/>
    <cellStyle name="Обычный 6 2 3 3 3 2 2 2 3" xfId="7437"/>
    <cellStyle name="Обычный 6 2 3 3 3 2 2 2 3 2" xfId="12820"/>
    <cellStyle name="Обычный 6 2 3 3 3 2 2 2 4" xfId="12821"/>
    <cellStyle name="Обычный 6 2 3 3 3 2 2 3" xfId="3347"/>
    <cellStyle name="Обычный 6 2 3 3 3 2 2 3 2" xfId="8465"/>
    <cellStyle name="Обычный 6 2 3 3 3 2 2 3 2 2" xfId="12822"/>
    <cellStyle name="Обычный 6 2 3 3 3 2 2 3 3" xfId="12823"/>
    <cellStyle name="Обычный 6 2 3 3 3 2 2 4" xfId="6409"/>
    <cellStyle name="Обычный 6 2 3 3 3 2 2 4 2" xfId="12824"/>
    <cellStyle name="Обычный 6 2 3 3 3 2 2 5" xfId="12825"/>
    <cellStyle name="Обычный 6 2 3 3 3 2 3" xfId="891"/>
    <cellStyle name="Обычный 6 2 3 3 3 2 3 2" xfId="2010"/>
    <cellStyle name="Обычный 6 2 3 3 3 2 3 2 2" xfId="4548"/>
    <cellStyle name="Обычный 6 2 3 3 3 2 3 2 2 2" xfId="9666"/>
    <cellStyle name="Обычный 6 2 3 3 3 2 3 2 2 2 2" xfId="12826"/>
    <cellStyle name="Обычный 6 2 3 3 3 2 3 2 2 3" xfId="12827"/>
    <cellStyle name="Обычный 6 2 3 3 3 2 3 2 3" xfId="7610"/>
    <cellStyle name="Обычный 6 2 3 3 3 2 3 2 3 2" xfId="12828"/>
    <cellStyle name="Обычный 6 2 3 3 3 2 3 2 4" xfId="12829"/>
    <cellStyle name="Обычный 6 2 3 3 3 2 3 3" xfId="3520"/>
    <cellStyle name="Обычный 6 2 3 3 3 2 3 3 2" xfId="8638"/>
    <cellStyle name="Обычный 6 2 3 3 3 2 3 3 2 2" xfId="12830"/>
    <cellStyle name="Обычный 6 2 3 3 3 2 3 3 3" xfId="12831"/>
    <cellStyle name="Обычный 6 2 3 3 3 2 3 4" xfId="6582"/>
    <cellStyle name="Обычный 6 2 3 3 3 2 3 4 2" xfId="12832"/>
    <cellStyle name="Обычный 6 2 3 3 3 2 3 5" xfId="12833"/>
    <cellStyle name="Обычный 6 2 3 3 3 2 4" xfId="1062"/>
    <cellStyle name="Обычный 6 2 3 3 3 2 4 2" xfId="2181"/>
    <cellStyle name="Обычный 6 2 3 3 3 2 4 2 2" xfId="4719"/>
    <cellStyle name="Обычный 6 2 3 3 3 2 4 2 2 2" xfId="9837"/>
    <cellStyle name="Обычный 6 2 3 3 3 2 4 2 2 2 2" xfId="12834"/>
    <cellStyle name="Обычный 6 2 3 3 3 2 4 2 2 3" xfId="12835"/>
    <cellStyle name="Обычный 6 2 3 3 3 2 4 2 3" xfId="7781"/>
    <cellStyle name="Обычный 6 2 3 3 3 2 4 2 3 2" xfId="12836"/>
    <cellStyle name="Обычный 6 2 3 3 3 2 4 2 4" xfId="12837"/>
    <cellStyle name="Обычный 6 2 3 3 3 2 4 3" xfId="3691"/>
    <cellStyle name="Обычный 6 2 3 3 3 2 4 3 2" xfId="8809"/>
    <cellStyle name="Обычный 6 2 3 3 3 2 4 3 2 2" xfId="12838"/>
    <cellStyle name="Обычный 6 2 3 3 3 2 4 3 3" xfId="12839"/>
    <cellStyle name="Обычный 6 2 3 3 3 2 4 4" xfId="6753"/>
    <cellStyle name="Обычный 6 2 3 3 3 2 4 4 2" xfId="12840"/>
    <cellStyle name="Обычный 6 2 3 3 3 2 4 5" xfId="12841"/>
    <cellStyle name="Обычный 6 2 3 3 3 2 5" xfId="1243"/>
    <cellStyle name="Обычный 6 2 3 3 3 2 5 2" xfId="2352"/>
    <cellStyle name="Обычный 6 2 3 3 3 2 5 2 2" xfId="4890"/>
    <cellStyle name="Обычный 6 2 3 3 3 2 5 2 2 2" xfId="10008"/>
    <cellStyle name="Обычный 6 2 3 3 3 2 5 2 2 2 2" xfId="12842"/>
    <cellStyle name="Обычный 6 2 3 3 3 2 5 2 2 3" xfId="12843"/>
    <cellStyle name="Обычный 6 2 3 3 3 2 5 2 3" xfId="7952"/>
    <cellStyle name="Обычный 6 2 3 3 3 2 5 2 3 2" xfId="12844"/>
    <cellStyle name="Обычный 6 2 3 3 3 2 5 2 4" xfId="12845"/>
    <cellStyle name="Обычный 6 2 3 3 3 2 5 3" xfId="3862"/>
    <cellStyle name="Обычный 6 2 3 3 3 2 5 3 2" xfId="8980"/>
    <cellStyle name="Обычный 6 2 3 3 3 2 5 3 2 2" xfId="12846"/>
    <cellStyle name="Обычный 6 2 3 3 3 2 5 3 3" xfId="12847"/>
    <cellStyle name="Обычный 6 2 3 3 3 2 5 4" xfId="6924"/>
    <cellStyle name="Обычный 6 2 3 3 3 2 5 4 2" xfId="12848"/>
    <cellStyle name="Обычный 6 2 3 3 3 2 5 5" xfId="12849"/>
    <cellStyle name="Обычный 6 2 3 3 3 2 6" xfId="1417"/>
    <cellStyle name="Обычный 6 2 3 3 3 2 6 2" xfId="2523"/>
    <cellStyle name="Обычный 6 2 3 3 3 2 6 2 2" xfId="5061"/>
    <cellStyle name="Обычный 6 2 3 3 3 2 6 2 2 2" xfId="10179"/>
    <cellStyle name="Обычный 6 2 3 3 3 2 6 2 2 2 2" xfId="12850"/>
    <cellStyle name="Обычный 6 2 3 3 3 2 6 2 2 3" xfId="12851"/>
    <cellStyle name="Обычный 6 2 3 3 3 2 6 2 3" xfId="8123"/>
    <cellStyle name="Обычный 6 2 3 3 3 2 6 2 3 2" xfId="12852"/>
    <cellStyle name="Обычный 6 2 3 3 3 2 6 2 4" xfId="12853"/>
    <cellStyle name="Обычный 6 2 3 3 3 2 6 3" xfId="4033"/>
    <cellStyle name="Обычный 6 2 3 3 3 2 6 3 2" xfId="9151"/>
    <cellStyle name="Обычный 6 2 3 3 3 2 6 3 2 2" xfId="12854"/>
    <cellStyle name="Обычный 6 2 3 3 3 2 6 3 3" xfId="12855"/>
    <cellStyle name="Обычный 6 2 3 3 3 2 6 4" xfId="7095"/>
    <cellStyle name="Обычный 6 2 3 3 3 2 6 4 2" xfId="12856"/>
    <cellStyle name="Обычный 6 2 3 3 3 2 6 5" xfId="12857"/>
    <cellStyle name="Обычный 6 2 3 3 3 2 7" xfId="1588"/>
    <cellStyle name="Обычный 6 2 3 3 3 2 7 2" xfId="2694"/>
    <cellStyle name="Обычный 6 2 3 3 3 2 7 2 2" xfId="5232"/>
    <cellStyle name="Обычный 6 2 3 3 3 2 7 2 2 2" xfId="10350"/>
    <cellStyle name="Обычный 6 2 3 3 3 2 7 2 2 2 2" xfId="12858"/>
    <cellStyle name="Обычный 6 2 3 3 3 2 7 2 2 3" xfId="12859"/>
    <cellStyle name="Обычный 6 2 3 3 3 2 7 2 3" xfId="8294"/>
    <cellStyle name="Обычный 6 2 3 3 3 2 7 2 3 2" xfId="12860"/>
    <cellStyle name="Обычный 6 2 3 3 3 2 7 2 4" xfId="12861"/>
    <cellStyle name="Обычный 6 2 3 3 3 2 7 3" xfId="4204"/>
    <cellStyle name="Обычный 6 2 3 3 3 2 7 3 2" xfId="9322"/>
    <cellStyle name="Обычный 6 2 3 3 3 2 7 3 2 2" xfId="12862"/>
    <cellStyle name="Обычный 6 2 3 3 3 2 7 3 3" xfId="12863"/>
    <cellStyle name="Обычный 6 2 3 3 3 2 7 4" xfId="7266"/>
    <cellStyle name="Обычный 6 2 3 3 3 2 7 4 2" xfId="12864"/>
    <cellStyle name="Обычный 6 2 3 3 3 2 7 5" xfId="12865"/>
    <cellStyle name="Обычный 6 2 3 3 3 2 8" xfId="3006"/>
    <cellStyle name="Обычный 6 2 3 3 4" xfId="268"/>
    <cellStyle name="Обычный 6 2 3 3 4 2" xfId="269"/>
    <cellStyle name="Обычный 6 2 3 3 4 2 2" xfId="705"/>
    <cellStyle name="Обычный 6 2 3 3 4 2 2 2" xfId="1833"/>
    <cellStyle name="Обычный 6 2 3 3 4 2 2 2 2" xfId="4376"/>
    <cellStyle name="Обычный 6 2 3 3 4 2 2 2 2 2" xfId="9494"/>
    <cellStyle name="Обычный 6 2 3 3 4 2 2 2 2 2 2" xfId="12866"/>
    <cellStyle name="Обычный 6 2 3 3 4 2 2 2 2 3" xfId="12867"/>
    <cellStyle name="Обычный 6 2 3 3 4 2 2 2 3" xfId="7438"/>
    <cellStyle name="Обычный 6 2 3 3 4 2 2 2 3 2" xfId="12868"/>
    <cellStyle name="Обычный 6 2 3 3 4 2 2 2 4" xfId="12869"/>
    <cellStyle name="Обычный 6 2 3 3 4 2 2 3" xfId="3348"/>
    <cellStyle name="Обычный 6 2 3 3 4 2 2 3 2" xfId="8466"/>
    <cellStyle name="Обычный 6 2 3 3 4 2 2 3 2 2" xfId="12870"/>
    <cellStyle name="Обычный 6 2 3 3 4 2 2 3 3" xfId="12871"/>
    <cellStyle name="Обычный 6 2 3 3 4 2 2 4" xfId="6410"/>
    <cellStyle name="Обычный 6 2 3 3 4 2 2 4 2" xfId="12872"/>
    <cellStyle name="Обычный 6 2 3 3 4 2 2 5" xfId="12873"/>
    <cellStyle name="Обычный 6 2 3 3 4 2 3" xfId="892"/>
    <cellStyle name="Обычный 6 2 3 3 4 2 3 2" xfId="2011"/>
    <cellStyle name="Обычный 6 2 3 3 4 2 3 2 2" xfId="4549"/>
    <cellStyle name="Обычный 6 2 3 3 4 2 3 2 2 2" xfId="9667"/>
    <cellStyle name="Обычный 6 2 3 3 4 2 3 2 2 2 2" xfId="12874"/>
    <cellStyle name="Обычный 6 2 3 3 4 2 3 2 2 3" xfId="12875"/>
    <cellStyle name="Обычный 6 2 3 3 4 2 3 2 3" xfId="7611"/>
    <cellStyle name="Обычный 6 2 3 3 4 2 3 2 3 2" xfId="12876"/>
    <cellStyle name="Обычный 6 2 3 3 4 2 3 2 4" xfId="12877"/>
    <cellStyle name="Обычный 6 2 3 3 4 2 3 3" xfId="3521"/>
    <cellStyle name="Обычный 6 2 3 3 4 2 3 3 2" xfId="8639"/>
    <cellStyle name="Обычный 6 2 3 3 4 2 3 3 2 2" xfId="12878"/>
    <cellStyle name="Обычный 6 2 3 3 4 2 3 3 3" xfId="12879"/>
    <cellStyle name="Обычный 6 2 3 3 4 2 3 4" xfId="6583"/>
    <cellStyle name="Обычный 6 2 3 3 4 2 3 4 2" xfId="12880"/>
    <cellStyle name="Обычный 6 2 3 3 4 2 3 5" xfId="12881"/>
    <cellStyle name="Обычный 6 2 3 3 4 2 4" xfId="1063"/>
    <cellStyle name="Обычный 6 2 3 3 4 2 4 2" xfId="2182"/>
    <cellStyle name="Обычный 6 2 3 3 4 2 4 2 2" xfId="4720"/>
    <cellStyle name="Обычный 6 2 3 3 4 2 4 2 2 2" xfId="9838"/>
    <cellStyle name="Обычный 6 2 3 3 4 2 4 2 2 2 2" xfId="12882"/>
    <cellStyle name="Обычный 6 2 3 3 4 2 4 2 2 3" xfId="12883"/>
    <cellStyle name="Обычный 6 2 3 3 4 2 4 2 3" xfId="7782"/>
    <cellStyle name="Обычный 6 2 3 3 4 2 4 2 3 2" xfId="12884"/>
    <cellStyle name="Обычный 6 2 3 3 4 2 4 2 4" xfId="12885"/>
    <cellStyle name="Обычный 6 2 3 3 4 2 4 3" xfId="3692"/>
    <cellStyle name="Обычный 6 2 3 3 4 2 4 3 2" xfId="8810"/>
    <cellStyle name="Обычный 6 2 3 3 4 2 4 3 2 2" xfId="12886"/>
    <cellStyle name="Обычный 6 2 3 3 4 2 4 3 3" xfId="12887"/>
    <cellStyle name="Обычный 6 2 3 3 4 2 4 4" xfId="6754"/>
    <cellStyle name="Обычный 6 2 3 3 4 2 4 4 2" xfId="12888"/>
    <cellStyle name="Обычный 6 2 3 3 4 2 4 5" xfId="12889"/>
    <cellStyle name="Обычный 6 2 3 3 4 2 5" xfId="1244"/>
    <cellStyle name="Обычный 6 2 3 3 4 2 5 2" xfId="2353"/>
    <cellStyle name="Обычный 6 2 3 3 4 2 5 2 2" xfId="4891"/>
    <cellStyle name="Обычный 6 2 3 3 4 2 5 2 2 2" xfId="10009"/>
    <cellStyle name="Обычный 6 2 3 3 4 2 5 2 2 2 2" xfId="12890"/>
    <cellStyle name="Обычный 6 2 3 3 4 2 5 2 2 3" xfId="12891"/>
    <cellStyle name="Обычный 6 2 3 3 4 2 5 2 3" xfId="7953"/>
    <cellStyle name="Обычный 6 2 3 3 4 2 5 2 3 2" xfId="12892"/>
    <cellStyle name="Обычный 6 2 3 3 4 2 5 2 4" xfId="12893"/>
    <cellStyle name="Обычный 6 2 3 3 4 2 5 3" xfId="3863"/>
    <cellStyle name="Обычный 6 2 3 3 4 2 5 3 2" xfId="8981"/>
    <cellStyle name="Обычный 6 2 3 3 4 2 5 3 2 2" xfId="12894"/>
    <cellStyle name="Обычный 6 2 3 3 4 2 5 3 3" xfId="12895"/>
    <cellStyle name="Обычный 6 2 3 3 4 2 5 4" xfId="6925"/>
    <cellStyle name="Обычный 6 2 3 3 4 2 5 4 2" xfId="12896"/>
    <cellStyle name="Обычный 6 2 3 3 4 2 5 5" xfId="12897"/>
    <cellStyle name="Обычный 6 2 3 3 4 2 6" xfId="1418"/>
    <cellStyle name="Обычный 6 2 3 3 4 2 6 2" xfId="2524"/>
    <cellStyle name="Обычный 6 2 3 3 4 2 6 2 2" xfId="5062"/>
    <cellStyle name="Обычный 6 2 3 3 4 2 6 2 2 2" xfId="10180"/>
    <cellStyle name="Обычный 6 2 3 3 4 2 6 2 2 2 2" xfId="12898"/>
    <cellStyle name="Обычный 6 2 3 3 4 2 6 2 2 3" xfId="12899"/>
    <cellStyle name="Обычный 6 2 3 3 4 2 6 2 3" xfId="8124"/>
    <cellStyle name="Обычный 6 2 3 3 4 2 6 2 3 2" xfId="12900"/>
    <cellStyle name="Обычный 6 2 3 3 4 2 6 2 4" xfId="12901"/>
    <cellStyle name="Обычный 6 2 3 3 4 2 6 3" xfId="4034"/>
    <cellStyle name="Обычный 6 2 3 3 4 2 6 3 2" xfId="9152"/>
    <cellStyle name="Обычный 6 2 3 3 4 2 6 3 2 2" xfId="12902"/>
    <cellStyle name="Обычный 6 2 3 3 4 2 6 3 3" xfId="12903"/>
    <cellStyle name="Обычный 6 2 3 3 4 2 6 4" xfId="7096"/>
    <cellStyle name="Обычный 6 2 3 3 4 2 6 4 2" xfId="12904"/>
    <cellStyle name="Обычный 6 2 3 3 4 2 6 5" xfId="12905"/>
    <cellStyle name="Обычный 6 2 3 3 4 2 7" xfId="1589"/>
    <cellStyle name="Обычный 6 2 3 3 4 2 7 2" xfId="2695"/>
    <cellStyle name="Обычный 6 2 3 3 4 2 7 2 2" xfId="5233"/>
    <cellStyle name="Обычный 6 2 3 3 4 2 7 2 2 2" xfId="10351"/>
    <cellStyle name="Обычный 6 2 3 3 4 2 7 2 2 2 2" xfId="12906"/>
    <cellStyle name="Обычный 6 2 3 3 4 2 7 2 2 3" xfId="12907"/>
    <cellStyle name="Обычный 6 2 3 3 4 2 7 2 3" xfId="8295"/>
    <cellStyle name="Обычный 6 2 3 3 4 2 7 2 3 2" xfId="12908"/>
    <cellStyle name="Обычный 6 2 3 3 4 2 7 2 4" xfId="12909"/>
    <cellStyle name="Обычный 6 2 3 3 4 2 7 3" xfId="4205"/>
    <cellStyle name="Обычный 6 2 3 3 4 2 7 3 2" xfId="9323"/>
    <cellStyle name="Обычный 6 2 3 3 4 2 7 3 2 2" xfId="12910"/>
    <cellStyle name="Обычный 6 2 3 3 4 2 7 3 3" xfId="12911"/>
    <cellStyle name="Обычный 6 2 3 3 4 2 7 4" xfId="7267"/>
    <cellStyle name="Обычный 6 2 3 3 4 2 7 4 2" xfId="12912"/>
    <cellStyle name="Обычный 6 2 3 3 4 2 7 5" xfId="12913"/>
    <cellStyle name="Обычный 6 2 3 3 4 2 8" xfId="3007"/>
    <cellStyle name="Обычный 6 2 3 3 5" xfId="270"/>
    <cellStyle name="Обычный 6 2 3 3 5 2" xfId="706"/>
    <cellStyle name="Обычный 6 2 3 3 5 2 2" xfId="1834"/>
    <cellStyle name="Обычный 6 2 3 3 5 2 2 2" xfId="4377"/>
    <cellStyle name="Обычный 6 2 3 3 5 2 2 2 2" xfId="9495"/>
    <cellStyle name="Обычный 6 2 3 3 5 2 2 2 2 2" xfId="12914"/>
    <cellStyle name="Обычный 6 2 3 3 5 2 2 2 3" xfId="12915"/>
    <cellStyle name="Обычный 6 2 3 3 5 2 2 3" xfId="7439"/>
    <cellStyle name="Обычный 6 2 3 3 5 2 2 3 2" xfId="12916"/>
    <cellStyle name="Обычный 6 2 3 3 5 2 2 4" xfId="12917"/>
    <cellStyle name="Обычный 6 2 3 3 5 2 3" xfId="3349"/>
    <cellStyle name="Обычный 6 2 3 3 5 2 3 2" xfId="8467"/>
    <cellStyle name="Обычный 6 2 3 3 5 2 3 2 2" xfId="12918"/>
    <cellStyle name="Обычный 6 2 3 3 5 2 3 3" xfId="12919"/>
    <cellStyle name="Обычный 6 2 3 3 5 2 4" xfId="6411"/>
    <cellStyle name="Обычный 6 2 3 3 5 2 4 2" xfId="12920"/>
    <cellStyle name="Обычный 6 2 3 3 5 2 5" xfId="12921"/>
    <cellStyle name="Обычный 6 2 3 3 5 3" xfId="893"/>
    <cellStyle name="Обычный 6 2 3 3 5 3 2" xfId="2012"/>
    <cellStyle name="Обычный 6 2 3 3 5 3 2 2" xfId="4550"/>
    <cellStyle name="Обычный 6 2 3 3 5 3 2 2 2" xfId="9668"/>
    <cellStyle name="Обычный 6 2 3 3 5 3 2 2 2 2" xfId="12922"/>
    <cellStyle name="Обычный 6 2 3 3 5 3 2 2 3" xfId="12923"/>
    <cellStyle name="Обычный 6 2 3 3 5 3 2 3" xfId="7612"/>
    <cellStyle name="Обычный 6 2 3 3 5 3 2 3 2" xfId="12924"/>
    <cellStyle name="Обычный 6 2 3 3 5 3 2 4" xfId="12925"/>
    <cellStyle name="Обычный 6 2 3 3 5 3 3" xfId="3522"/>
    <cellStyle name="Обычный 6 2 3 3 5 3 3 2" xfId="8640"/>
    <cellStyle name="Обычный 6 2 3 3 5 3 3 2 2" xfId="12926"/>
    <cellStyle name="Обычный 6 2 3 3 5 3 3 3" xfId="12927"/>
    <cellStyle name="Обычный 6 2 3 3 5 3 4" xfId="6584"/>
    <cellStyle name="Обычный 6 2 3 3 5 3 4 2" xfId="12928"/>
    <cellStyle name="Обычный 6 2 3 3 5 3 5" xfId="12929"/>
    <cellStyle name="Обычный 6 2 3 3 5 4" xfId="1064"/>
    <cellStyle name="Обычный 6 2 3 3 5 4 2" xfId="2183"/>
    <cellStyle name="Обычный 6 2 3 3 5 4 2 2" xfId="4721"/>
    <cellStyle name="Обычный 6 2 3 3 5 4 2 2 2" xfId="9839"/>
    <cellStyle name="Обычный 6 2 3 3 5 4 2 2 2 2" xfId="12930"/>
    <cellStyle name="Обычный 6 2 3 3 5 4 2 2 3" xfId="12931"/>
    <cellStyle name="Обычный 6 2 3 3 5 4 2 3" xfId="7783"/>
    <cellStyle name="Обычный 6 2 3 3 5 4 2 3 2" xfId="12932"/>
    <cellStyle name="Обычный 6 2 3 3 5 4 2 4" xfId="12933"/>
    <cellStyle name="Обычный 6 2 3 3 5 4 3" xfId="3693"/>
    <cellStyle name="Обычный 6 2 3 3 5 4 3 2" xfId="8811"/>
    <cellStyle name="Обычный 6 2 3 3 5 4 3 2 2" xfId="12934"/>
    <cellStyle name="Обычный 6 2 3 3 5 4 3 3" xfId="12935"/>
    <cellStyle name="Обычный 6 2 3 3 5 4 4" xfId="6755"/>
    <cellStyle name="Обычный 6 2 3 3 5 4 4 2" xfId="12936"/>
    <cellStyle name="Обычный 6 2 3 3 5 4 5" xfId="12937"/>
    <cellStyle name="Обычный 6 2 3 3 5 5" xfId="1245"/>
    <cellStyle name="Обычный 6 2 3 3 5 5 2" xfId="2354"/>
    <cellStyle name="Обычный 6 2 3 3 5 5 2 2" xfId="4892"/>
    <cellStyle name="Обычный 6 2 3 3 5 5 2 2 2" xfId="10010"/>
    <cellStyle name="Обычный 6 2 3 3 5 5 2 2 2 2" xfId="12938"/>
    <cellStyle name="Обычный 6 2 3 3 5 5 2 2 3" xfId="12939"/>
    <cellStyle name="Обычный 6 2 3 3 5 5 2 3" xfId="7954"/>
    <cellStyle name="Обычный 6 2 3 3 5 5 2 3 2" xfId="12940"/>
    <cellStyle name="Обычный 6 2 3 3 5 5 2 4" xfId="12941"/>
    <cellStyle name="Обычный 6 2 3 3 5 5 3" xfId="3864"/>
    <cellStyle name="Обычный 6 2 3 3 5 5 3 2" xfId="8982"/>
    <cellStyle name="Обычный 6 2 3 3 5 5 3 2 2" xfId="12942"/>
    <cellStyle name="Обычный 6 2 3 3 5 5 3 3" xfId="12943"/>
    <cellStyle name="Обычный 6 2 3 3 5 5 4" xfId="6926"/>
    <cellStyle name="Обычный 6 2 3 3 5 5 4 2" xfId="12944"/>
    <cellStyle name="Обычный 6 2 3 3 5 5 5" xfId="12945"/>
    <cellStyle name="Обычный 6 2 3 3 5 6" xfId="1419"/>
    <cellStyle name="Обычный 6 2 3 3 5 6 2" xfId="2525"/>
    <cellStyle name="Обычный 6 2 3 3 5 6 2 2" xfId="5063"/>
    <cellStyle name="Обычный 6 2 3 3 5 6 2 2 2" xfId="10181"/>
    <cellStyle name="Обычный 6 2 3 3 5 6 2 2 2 2" xfId="12946"/>
    <cellStyle name="Обычный 6 2 3 3 5 6 2 2 3" xfId="12947"/>
    <cellStyle name="Обычный 6 2 3 3 5 6 2 3" xfId="8125"/>
    <cellStyle name="Обычный 6 2 3 3 5 6 2 3 2" xfId="12948"/>
    <cellStyle name="Обычный 6 2 3 3 5 6 2 4" xfId="12949"/>
    <cellStyle name="Обычный 6 2 3 3 5 6 3" xfId="4035"/>
    <cellStyle name="Обычный 6 2 3 3 5 6 3 2" xfId="9153"/>
    <cellStyle name="Обычный 6 2 3 3 5 6 3 2 2" xfId="12950"/>
    <cellStyle name="Обычный 6 2 3 3 5 6 3 3" xfId="12951"/>
    <cellStyle name="Обычный 6 2 3 3 5 6 4" xfId="7097"/>
    <cellStyle name="Обычный 6 2 3 3 5 6 4 2" xfId="12952"/>
    <cellStyle name="Обычный 6 2 3 3 5 6 5" xfId="12953"/>
    <cellStyle name="Обычный 6 2 3 3 5 7" xfId="1590"/>
    <cellStyle name="Обычный 6 2 3 3 5 7 2" xfId="2696"/>
    <cellStyle name="Обычный 6 2 3 3 5 7 2 2" xfId="5234"/>
    <cellStyle name="Обычный 6 2 3 3 5 7 2 2 2" xfId="10352"/>
    <cellStyle name="Обычный 6 2 3 3 5 7 2 2 2 2" xfId="12954"/>
    <cellStyle name="Обычный 6 2 3 3 5 7 2 2 3" xfId="12955"/>
    <cellStyle name="Обычный 6 2 3 3 5 7 2 3" xfId="8296"/>
    <cellStyle name="Обычный 6 2 3 3 5 7 2 3 2" xfId="12956"/>
    <cellStyle name="Обычный 6 2 3 3 5 7 2 4" xfId="12957"/>
    <cellStyle name="Обычный 6 2 3 3 5 7 3" xfId="4206"/>
    <cellStyle name="Обычный 6 2 3 3 5 7 3 2" xfId="9324"/>
    <cellStyle name="Обычный 6 2 3 3 5 7 3 2 2" xfId="12958"/>
    <cellStyle name="Обычный 6 2 3 3 5 7 3 3" xfId="12959"/>
    <cellStyle name="Обычный 6 2 3 3 5 7 4" xfId="7268"/>
    <cellStyle name="Обычный 6 2 3 3 5 7 4 2" xfId="12960"/>
    <cellStyle name="Обычный 6 2 3 3 5 7 5" xfId="12961"/>
    <cellStyle name="Обычный 6 2 3 3 5 8" xfId="3008"/>
    <cellStyle name="Обычный 6 2 3 4" xfId="271"/>
    <cellStyle name="Обычный 6 2 3 4 2" xfId="272"/>
    <cellStyle name="Обычный 6 2 3 4 2 2" xfId="273"/>
    <cellStyle name="Обычный 6 2 3 4 2 2 2" xfId="274"/>
    <cellStyle name="Обычный 6 2 3 4 2 2 2 2" xfId="707"/>
    <cellStyle name="Обычный 6 2 3 4 2 2 2 2 2" xfId="1835"/>
    <cellStyle name="Обычный 6 2 3 4 2 2 2 2 2 2" xfId="4378"/>
    <cellStyle name="Обычный 6 2 3 4 2 2 2 2 2 2 2" xfId="9496"/>
    <cellStyle name="Обычный 6 2 3 4 2 2 2 2 2 2 2 2" xfId="12962"/>
    <cellStyle name="Обычный 6 2 3 4 2 2 2 2 2 2 3" xfId="12963"/>
    <cellStyle name="Обычный 6 2 3 4 2 2 2 2 2 3" xfId="7440"/>
    <cellStyle name="Обычный 6 2 3 4 2 2 2 2 2 3 2" xfId="12964"/>
    <cellStyle name="Обычный 6 2 3 4 2 2 2 2 2 4" xfId="12965"/>
    <cellStyle name="Обычный 6 2 3 4 2 2 2 2 3" xfId="3350"/>
    <cellStyle name="Обычный 6 2 3 4 2 2 2 2 3 2" xfId="8468"/>
    <cellStyle name="Обычный 6 2 3 4 2 2 2 2 3 2 2" xfId="12966"/>
    <cellStyle name="Обычный 6 2 3 4 2 2 2 2 3 3" xfId="12967"/>
    <cellStyle name="Обычный 6 2 3 4 2 2 2 2 4" xfId="6412"/>
    <cellStyle name="Обычный 6 2 3 4 2 2 2 2 4 2" xfId="12968"/>
    <cellStyle name="Обычный 6 2 3 4 2 2 2 2 5" xfId="12969"/>
    <cellStyle name="Обычный 6 2 3 4 2 2 2 3" xfId="894"/>
    <cellStyle name="Обычный 6 2 3 4 2 2 2 3 2" xfId="2013"/>
    <cellStyle name="Обычный 6 2 3 4 2 2 2 3 2 2" xfId="4551"/>
    <cellStyle name="Обычный 6 2 3 4 2 2 2 3 2 2 2" xfId="9669"/>
    <cellStyle name="Обычный 6 2 3 4 2 2 2 3 2 2 2 2" xfId="12970"/>
    <cellStyle name="Обычный 6 2 3 4 2 2 2 3 2 2 3" xfId="12971"/>
    <cellStyle name="Обычный 6 2 3 4 2 2 2 3 2 3" xfId="7613"/>
    <cellStyle name="Обычный 6 2 3 4 2 2 2 3 2 3 2" xfId="12972"/>
    <cellStyle name="Обычный 6 2 3 4 2 2 2 3 2 4" xfId="12973"/>
    <cellStyle name="Обычный 6 2 3 4 2 2 2 3 3" xfId="3523"/>
    <cellStyle name="Обычный 6 2 3 4 2 2 2 3 3 2" xfId="8641"/>
    <cellStyle name="Обычный 6 2 3 4 2 2 2 3 3 2 2" xfId="12974"/>
    <cellStyle name="Обычный 6 2 3 4 2 2 2 3 3 3" xfId="12975"/>
    <cellStyle name="Обычный 6 2 3 4 2 2 2 3 4" xfId="6585"/>
    <cellStyle name="Обычный 6 2 3 4 2 2 2 3 4 2" xfId="12976"/>
    <cellStyle name="Обычный 6 2 3 4 2 2 2 3 5" xfId="12977"/>
    <cellStyle name="Обычный 6 2 3 4 2 2 2 4" xfId="1065"/>
    <cellStyle name="Обычный 6 2 3 4 2 2 2 4 2" xfId="2184"/>
    <cellStyle name="Обычный 6 2 3 4 2 2 2 4 2 2" xfId="4722"/>
    <cellStyle name="Обычный 6 2 3 4 2 2 2 4 2 2 2" xfId="9840"/>
    <cellStyle name="Обычный 6 2 3 4 2 2 2 4 2 2 2 2" xfId="12978"/>
    <cellStyle name="Обычный 6 2 3 4 2 2 2 4 2 2 3" xfId="12979"/>
    <cellStyle name="Обычный 6 2 3 4 2 2 2 4 2 3" xfId="7784"/>
    <cellStyle name="Обычный 6 2 3 4 2 2 2 4 2 3 2" xfId="12980"/>
    <cellStyle name="Обычный 6 2 3 4 2 2 2 4 2 4" xfId="12981"/>
    <cellStyle name="Обычный 6 2 3 4 2 2 2 4 3" xfId="3694"/>
    <cellStyle name="Обычный 6 2 3 4 2 2 2 4 3 2" xfId="8812"/>
    <cellStyle name="Обычный 6 2 3 4 2 2 2 4 3 2 2" xfId="12982"/>
    <cellStyle name="Обычный 6 2 3 4 2 2 2 4 3 3" xfId="12983"/>
    <cellStyle name="Обычный 6 2 3 4 2 2 2 4 4" xfId="6756"/>
    <cellStyle name="Обычный 6 2 3 4 2 2 2 4 4 2" xfId="12984"/>
    <cellStyle name="Обычный 6 2 3 4 2 2 2 4 5" xfId="12985"/>
    <cellStyle name="Обычный 6 2 3 4 2 2 2 5" xfId="1246"/>
    <cellStyle name="Обычный 6 2 3 4 2 2 2 5 2" xfId="2355"/>
    <cellStyle name="Обычный 6 2 3 4 2 2 2 5 2 2" xfId="4893"/>
    <cellStyle name="Обычный 6 2 3 4 2 2 2 5 2 2 2" xfId="10011"/>
    <cellStyle name="Обычный 6 2 3 4 2 2 2 5 2 2 2 2" xfId="12986"/>
    <cellStyle name="Обычный 6 2 3 4 2 2 2 5 2 2 3" xfId="12987"/>
    <cellStyle name="Обычный 6 2 3 4 2 2 2 5 2 3" xfId="7955"/>
    <cellStyle name="Обычный 6 2 3 4 2 2 2 5 2 3 2" xfId="12988"/>
    <cellStyle name="Обычный 6 2 3 4 2 2 2 5 2 4" xfId="12989"/>
    <cellStyle name="Обычный 6 2 3 4 2 2 2 5 3" xfId="3865"/>
    <cellStyle name="Обычный 6 2 3 4 2 2 2 5 3 2" xfId="8983"/>
    <cellStyle name="Обычный 6 2 3 4 2 2 2 5 3 2 2" xfId="12990"/>
    <cellStyle name="Обычный 6 2 3 4 2 2 2 5 3 3" xfId="12991"/>
    <cellStyle name="Обычный 6 2 3 4 2 2 2 5 4" xfId="6927"/>
    <cellStyle name="Обычный 6 2 3 4 2 2 2 5 4 2" xfId="12992"/>
    <cellStyle name="Обычный 6 2 3 4 2 2 2 5 5" xfId="12993"/>
    <cellStyle name="Обычный 6 2 3 4 2 2 2 6" xfId="1420"/>
    <cellStyle name="Обычный 6 2 3 4 2 2 2 6 2" xfId="2526"/>
    <cellStyle name="Обычный 6 2 3 4 2 2 2 6 2 2" xfId="5064"/>
    <cellStyle name="Обычный 6 2 3 4 2 2 2 6 2 2 2" xfId="10182"/>
    <cellStyle name="Обычный 6 2 3 4 2 2 2 6 2 2 2 2" xfId="12994"/>
    <cellStyle name="Обычный 6 2 3 4 2 2 2 6 2 2 3" xfId="12995"/>
    <cellStyle name="Обычный 6 2 3 4 2 2 2 6 2 3" xfId="8126"/>
    <cellStyle name="Обычный 6 2 3 4 2 2 2 6 2 3 2" xfId="12996"/>
    <cellStyle name="Обычный 6 2 3 4 2 2 2 6 2 4" xfId="12997"/>
    <cellStyle name="Обычный 6 2 3 4 2 2 2 6 3" xfId="4036"/>
    <cellStyle name="Обычный 6 2 3 4 2 2 2 6 3 2" xfId="9154"/>
    <cellStyle name="Обычный 6 2 3 4 2 2 2 6 3 2 2" xfId="12998"/>
    <cellStyle name="Обычный 6 2 3 4 2 2 2 6 3 3" xfId="12999"/>
    <cellStyle name="Обычный 6 2 3 4 2 2 2 6 4" xfId="7098"/>
    <cellStyle name="Обычный 6 2 3 4 2 2 2 6 4 2" xfId="13000"/>
    <cellStyle name="Обычный 6 2 3 4 2 2 2 6 5" xfId="13001"/>
    <cellStyle name="Обычный 6 2 3 4 2 2 2 7" xfId="1591"/>
    <cellStyle name="Обычный 6 2 3 4 2 2 2 7 2" xfId="2697"/>
    <cellStyle name="Обычный 6 2 3 4 2 2 2 7 2 2" xfId="5235"/>
    <cellStyle name="Обычный 6 2 3 4 2 2 2 7 2 2 2" xfId="10353"/>
    <cellStyle name="Обычный 6 2 3 4 2 2 2 7 2 2 2 2" xfId="13002"/>
    <cellStyle name="Обычный 6 2 3 4 2 2 2 7 2 2 3" xfId="13003"/>
    <cellStyle name="Обычный 6 2 3 4 2 2 2 7 2 3" xfId="8297"/>
    <cellStyle name="Обычный 6 2 3 4 2 2 2 7 2 3 2" xfId="13004"/>
    <cellStyle name="Обычный 6 2 3 4 2 2 2 7 2 4" xfId="13005"/>
    <cellStyle name="Обычный 6 2 3 4 2 2 2 7 3" xfId="4207"/>
    <cellStyle name="Обычный 6 2 3 4 2 2 2 7 3 2" xfId="9325"/>
    <cellStyle name="Обычный 6 2 3 4 2 2 2 7 3 2 2" xfId="13006"/>
    <cellStyle name="Обычный 6 2 3 4 2 2 2 7 3 3" xfId="13007"/>
    <cellStyle name="Обычный 6 2 3 4 2 2 2 7 4" xfId="7269"/>
    <cellStyle name="Обычный 6 2 3 4 2 2 2 7 4 2" xfId="13008"/>
    <cellStyle name="Обычный 6 2 3 4 2 2 2 7 5" xfId="13009"/>
    <cellStyle name="Обычный 6 2 3 4 2 2 2 8" xfId="3009"/>
    <cellStyle name="Обычный 6 2 3 4 2 3" xfId="275"/>
    <cellStyle name="Обычный 6 2 3 4 2 3 2" xfId="276"/>
    <cellStyle name="Обычный 6 2 3 4 2 3 2 2" xfId="708"/>
    <cellStyle name="Обычный 6 2 3 4 2 3 2 2 2" xfId="1836"/>
    <cellStyle name="Обычный 6 2 3 4 2 3 2 2 2 2" xfId="4379"/>
    <cellStyle name="Обычный 6 2 3 4 2 3 2 2 2 2 2" xfId="9497"/>
    <cellStyle name="Обычный 6 2 3 4 2 3 2 2 2 2 2 2" xfId="13010"/>
    <cellStyle name="Обычный 6 2 3 4 2 3 2 2 2 2 3" xfId="13011"/>
    <cellStyle name="Обычный 6 2 3 4 2 3 2 2 2 3" xfId="7441"/>
    <cellStyle name="Обычный 6 2 3 4 2 3 2 2 2 3 2" xfId="13012"/>
    <cellStyle name="Обычный 6 2 3 4 2 3 2 2 2 4" xfId="13013"/>
    <cellStyle name="Обычный 6 2 3 4 2 3 2 2 3" xfId="3351"/>
    <cellStyle name="Обычный 6 2 3 4 2 3 2 2 3 2" xfId="8469"/>
    <cellStyle name="Обычный 6 2 3 4 2 3 2 2 3 2 2" xfId="13014"/>
    <cellStyle name="Обычный 6 2 3 4 2 3 2 2 3 3" xfId="13015"/>
    <cellStyle name="Обычный 6 2 3 4 2 3 2 2 4" xfId="6413"/>
    <cellStyle name="Обычный 6 2 3 4 2 3 2 2 4 2" xfId="13016"/>
    <cellStyle name="Обычный 6 2 3 4 2 3 2 2 5" xfId="13017"/>
    <cellStyle name="Обычный 6 2 3 4 2 3 2 3" xfId="895"/>
    <cellStyle name="Обычный 6 2 3 4 2 3 2 3 2" xfId="2014"/>
    <cellStyle name="Обычный 6 2 3 4 2 3 2 3 2 2" xfId="4552"/>
    <cellStyle name="Обычный 6 2 3 4 2 3 2 3 2 2 2" xfId="9670"/>
    <cellStyle name="Обычный 6 2 3 4 2 3 2 3 2 2 2 2" xfId="13018"/>
    <cellStyle name="Обычный 6 2 3 4 2 3 2 3 2 2 3" xfId="13019"/>
    <cellStyle name="Обычный 6 2 3 4 2 3 2 3 2 3" xfId="7614"/>
    <cellStyle name="Обычный 6 2 3 4 2 3 2 3 2 3 2" xfId="13020"/>
    <cellStyle name="Обычный 6 2 3 4 2 3 2 3 2 4" xfId="13021"/>
    <cellStyle name="Обычный 6 2 3 4 2 3 2 3 3" xfId="3524"/>
    <cellStyle name="Обычный 6 2 3 4 2 3 2 3 3 2" xfId="8642"/>
    <cellStyle name="Обычный 6 2 3 4 2 3 2 3 3 2 2" xfId="13022"/>
    <cellStyle name="Обычный 6 2 3 4 2 3 2 3 3 3" xfId="13023"/>
    <cellStyle name="Обычный 6 2 3 4 2 3 2 3 4" xfId="6586"/>
    <cellStyle name="Обычный 6 2 3 4 2 3 2 3 4 2" xfId="13024"/>
    <cellStyle name="Обычный 6 2 3 4 2 3 2 3 5" xfId="13025"/>
    <cellStyle name="Обычный 6 2 3 4 2 3 2 4" xfId="1066"/>
    <cellStyle name="Обычный 6 2 3 4 2 3 2 4 2" xfId="2185"/>
    <cellStyle name="Обычный 6 2 3 4 2 3 2 4 2 2" xfId="4723"/>
    <cellStyle name="Обычный 6 2 3 4 2 3 2 4 2 2 2" xfId="9841"/>
    <cellStyle name="Обычный 6 2 3 4 2 3 2 4 2 2 2 2" xfId="13026"/>
    <cellStyle name="Обычный 6 2 3 4 2 3 2 4 2 2 3" xfId="13027"/>
    <cellStyle name="Обычный 6 2 3 4 2 3 2 4 2 3" xfId="7785"/>
    <cellStyle name="Обычный 6 2 3 4 2 3 2 4 2 3 2" xfId="13028"/>
    <cellStyle name="Обычный 6 2 3 4 2 3 2 4 2 4" xfId="13029"/>
    <cellStyle name="Обычный 6 2 3 4 2 3 2 4 3" xfId="3695"/>
    <cellStyle name="Обычный 6 2 3 4 2 3 2 4 3 2" xfId="8813"/>
    <cellStyle name="Обычный 6 2 3 4 2 3 2 4 3 2 2" xfId="13030"/>
    <cellStyle name="Обычный 6 2 3 4 2 3 2 4 3 3" xfId="13031"/>
    <cellStyle name="Обычный 6 2 3 4 2 3 2 4 4" xfId="6757"/>
    <cellStyle name="Обычный 6 2 3 4 2 3 2 4 4 2" xfId="13032"/>
    <cellStyle name="Обычный 6 2 3 4 2 3 2 4 5" xfId="13033"/>
    <cellStyle name="Обычный 6 2 3 4 2 3 2 5" xfId="1247"/>
    <cellStyle name="Обычный 6 2 3 4 2 3 2 5 2" xfId="2356"/>
    <cellStyle name="Обычный 6 2 3 4 2 3 2 5 2 2" xfId="4894"/>
    <cellStyle name="Обычный 6 2 3 4 2 3 2 5 2 2 2" xfId="10012"/>
    <cellStyle name="Обычный 6 2 3 4 2 3 2 5 2 2 2 2" xfId="13034"/>
    <cellStyle name="Обычный 6 2 3 4 2 3 2 5 2 2 3" xfId="13035"/>
    <cellStyle name="Обычный 6 2 3 4 2 3 2 5 2 3" xfId="7956"/>
    <cellStyle name="Обычный 6 2 3 4 2 3 2 5 2 3 2" xfId="13036"/>
    <cellStyle name="Обычный 6 2 3 4 2 3 2 5 2 4" xfId="13037"/>
    <cellStyle name="Обычный 6 2 3 4 2 3 2 5 3" xfId="3866"/>
    <cellStyle name="Обычный 6 2 3 4 2 3 2 5 3 2" xfId="8984"/>
    <cellStyle name="Обычный 6 2 3 4 2 3 2 5 3 2 2" xfId="13038"/>
    <cellStyle name="Обычный 6 2 3 4 2 3 2 5 3 3" xfId="13039"/>
    <cellStyle name="Обычный 6 2 3 4 2 3 2 5 4" xfId="6928"/>
    <cellStyle name="Обычный 6 2 3 4 2 3 2 5 4 2" xfId="13040"/>
    <cellStyle name="Обычный 6 2 3 4 2 3 2 5 5" xfId="13041"/>
    <cellStyle name="Обычный 6 2 3 4 2 3 2 6" xfId="1421"/>
    <cellStyle name="Обычный 6 2 3 4 2 3 2 6 2" xfId="2527"/>
    <cellStyle name="Обычный 6 2 3 4 2 3 2 6 2 2" xfId="5065"/>
    <cellStyle name="Обычный 6 2 3 4 2 3 2 6 2 2 2" xfId="10183"/>
    <cellStyle name="Обычный 6 2 3 4 2 3 2 6 2 2 2 2" xfId="13042"/>
    <cellStyle name="Обычный 6 2 3 4 2 3 2 6 2 2 3" xfId="13043"/>
    <cellStyle name="Обычный 6 2 3 4 2 3 2 6 2 3" xfId="8127"/>
    <cellStyle name="Обычный 6 2 3 4 2 3 2 6 2 3 2" xfId="13044"/>
    <cellStyle name="Обычный 6 2 3 4 2 3 2 6 2 4" xfId="13045"/>
    <cellStyle name="Обычный 6 2 3 4 2 3 2 6 3" xfId="4037"/>
    <cellStyle name="Обычный 6 2 3 4 2 3 2 6 3 2" xfId="9155"/>
    <cellStyle name="Обычный 6 2 3 4 2 3 2 6 3 2 2" xfId="13046"/>
    <cellStyle name="Обычный 6 2 3 4 2 3 2 6 3 3" xfId="13047"/>
    <cellStyle name="Обычный 6 2 3 4 2 3 2 6 4" xfId="7099"/>
    <cellStyle name="Обычный 6 2 3 4 2 3 2 6 4 2" xfId="13048"/>
    <cellStyle name="Обычный 6 2 3 4 2 3 2 6 5" xfId="13049"/>
    <cellStyle name="Обычный 6 2 3 4 2 3 2 7" xfId="1592"/>
    <cellStyle name="Обычный 6 2 3 4 2 3 2 7 2" xfId="2698"/>
    <cellStyle name="Обычный 6 2 3 4 2 3 2 7 2 2" xfId="5236"/>
    <cellStyle name="Обычный 6 2 3 4 2 3 2 7 2 2 2" xfId="10354"/>
    <cellStyle name="Обычный 6 2 3 4 2 3 2 7 2 2 2 2" xfId="13050"/>
    <cellStyle name="Обычный 6 2 3 4 2 3 2 7 2 2 3" xfId="13051"/>
    <cellStyle name="Обычный 6 2 3 4 2 3 2 7 2 3" xfId="8298"/>
    <cellStyle name="Обычный 6 2 3 4 2 3 2 7 2 3 2" xfId="13052"/>
    <cellStyle name="Обычный 6 2 3 4 2 3 2 7 2 4" xfId="13053"/>
    <cellStyle name="Обычный 6 2 3 4 2 3 2 7 3" xfId="4208"/>
    <cellStyle name="Обычный 6 2 3 4 2 3 2 7 3 2" xfId="9326"/>
    <cellStyle name="Обычный 6 2 3 4 2 3 2 7 3 2 2" xfId="13054"/>
    <cellStyle name="Обычный 6 2 3 4 2 3 2 7 3 3" xfId="13055"/>
    <cellStyle name="Обычный 6 2 3 4 2 3 2 7 4" xfId="7270"/>
    <cellStyle name="Обычный 6 2 3 4 2 3 2 7 4 2" xfId="13056"/>
    <cellStyle name="Обычный 6 2 3 4 2 3 2 7 5" xfId="13057"/>
    <cellStyle name="Обычный 6 2 3 4 2 3 2 8" xfId="3010"/>
    <cellStyle name="Обычный 6 2 3 4 2 4" xfId="277"/>
    <cellStyle name="Обычный 6 2 3 4 2 4 2" xfId="709"/>
    <cellStyle name="Обычный 6 2 3 4 2 4 2 2" xfId="1837"/>
    <cellStyle name="Обычный 6 2 3 4 2 4 2 2 2" xfId="4380"/>
    <cellStyle name="Обычный 6 2 3 4 2 4 2 2 2 2" xfId="9498"/>
    <cellStyle name="Обычный 6 2 3 4 2 4 2 2 2 2 2" xfId="13058"/>
    <cellStyle name="Обычный 6 2 3 4 2 4 2 2 2 3" xfId="13059"/>
    <cellStyle name="Обычный 6 2 3 4 2 4 2 2 3" xfId="7442"/>
    <cellStyle name="Обычный 6 2 3 4 2 4 2 2 3 2" xfId="13060"/>
    <cellStyle name="Обычный 6 2 3 4 2 4 2 2 4" xfId="13061"/>
    <cellStyle name="Обычный 6 2 3 4 2 4 2 3" xfId="3352"/>
    <cellStyle name="Обычный 6 2 3 4 2 4 2 3 2" xfId="8470"/>
    <cellStyle name="Обычный 6 2 3 4 2 4 2 3 2 2" xfId="13062"/>
    <cellStyle name="Обычный 6 2 3 4 2 4 2 3 3" xfId="13063"/>
    <cellStyle name="Обычный 6 2 3 4 2 4 2 4" xfId="6414"/>
    <cellStyle name="Обычный 6 2 3 4 2 4 2 4 2" xfId="13064"/>
    <cellStyle name="Обычный 6 2 3 4 2 4 2 5" xfId="13065"/>
    <cellStyle name="Обычный 6 2 3 4 2 4 3" xfId="896"/>
    <cellStyle name="Обычный 6 2 3 4 2 4 3 2" xfId="2015"/>
    <cellStyle name="Обычный 6 2 3 4 2 4 3 2 2" xfId="4553"/>
    <cellStyle name="Обычный 6 2 3 4 2 4 3 2 2 2" xfId="9671"/>
    <cellStyle name="Обычный 6 2 3 4 2 4 3 2 2 2 2" xfId="13066"/>
    <cellStyle name="Обычный 6 2 3 4 2 4 3 2 2 3" xfId="13067"/>
    <cellStyle name="Обычный 6 2 3 4 2 4 3 2 3" xfId="7615"/>
    <cellStyle name="Обычный 6 2 3 4 2 4 3 2 3 2" xfId="13068"/>
    <cellStyle name="Обычный 6 2 3 4 2 4 3 2 4" xfId="13069"/>
    <cellStyle name="Обычный 6 2 3 4 2 4 3 3" xfId="3525"/>
    <cellStyle name="Обычный 6 2 3 4 2 4 3 3 2" xfId="8643"/>
    <cellStyle name="Обычный 6 2 3 4 2 4 3 3 2 2" xfId="13070"/>
    <cellStyle name="Обычный 6 2 3 4 2 4 3 3 3" xfId="13071"/>
    <cellStyle name="Обычный 6 2 3 4 2 4 3 4" xfId="6587"/>
    <cellStyle name="Обычный 6 2 3 4 2 4 3 4 2" xfId="13072"/>
    <cellStyle name="Обычный 6 2 3 4 2 4 3 5" xfId="13073"/>
    <cellStyle name="Обычный 6 2 3 4 2 4 4" xfId="1067"/>
    <cellStyle name="Обычный 6 2 3 4 2 4 4 2" xfId="2186"/>
    <cellStyle name="Обычный 6 2 3 4 2 4 4 2 2" xfId="4724"/>
    <cellStyle name="Обычный 6 2 3 4 2 4 4 2 2 2" xfId="9842"/>
    <cellStyle name="Обычный 6 2 3 4 2 4 4 2 2 2 2" xfId="13074"/>
    <cellStyle name="Обычный 6 2 3 4 2 4 4 2 2 3" xfId="13075"/>
    <cellStyle name="Обычный 6 2 3 4 2 4 4 2 3" xfId="7786"/>
    <cellStyle name="Обычный 6 2 3 4 2 4 4 2 3 2" xfId="13076"/>
    <cellStyle name="Обычный 6 2 3 4 2 4 4 2 4" xfId="13077"/>
    <cellStyle name="Обычный 6 2 3 4 2 4 4 3" xfId="3696"/>
    <cellStyle name="Обычный 6 2 3 4 2 4 4 3 2" xfId="8814"/>
    <cellStyle name="Обычный 6 2 3 4 2 4 4 3 2 2" xfId="13078"/>
    <cellStyle name="Обычный 6 2 3 4 2 4 4 3 3" xfId="13079"/>
    <cellStyle name="Обычный 6 2 3 4 2 4 4 4" xfId="6758"/>
    <cellStyle name="Обычный 6 2 3 4 2 4 4 4 2" xfId="13080"/>
    <cellStyle name="Обычный 6 2 3 4 2 4 4 5" xfId="13081"/>
    <cellStyle name="Обычный 6 2 3 4 2 4 5" xfId="1248"/>
    <cellStyle name="Обычный 6 2 3 4 2 4 5 2" xfId="2357"/>
    <cellStyle name="Обычный 6 2 3 4 2 4 5 2 2" xfId="4895"/>
    <cellStyle name="Обычный 6 2 3 4 2 4 5 2 2 2" xfId="10013"/>
    <cellStyle name="Обычный 6 2 3 4 2 4 5 2 2 2 2" xfId="13082"/>
    <cellStyle name="Обычный 6 2 3 4 2 4 5 2 2 3" xfId="13083"/>
    <cellStyle name="Обычный 6 2 3 4 2 4 5 2 3" xfId="7957"/>
    <cellStyle name="Обычный 6 2 3 4 2 4 5 2 3 2" xfId="13084"/>
    <cellStyle name="Обычный 6 2 3 4 2 4 5 2 4" xfId="13085"/>
    <cellStyle name="Обычный 6 2 3 4 2 4 5 3" xfId="3867"/>
    <cellStyle name="Обычный 6 2 3 4 2 4 5 3 2" xfId="8985"/>
    <cellStyle name="Обычный 6 2 3 4 2 4 5 3 2 2" xfId="13086"/>
    <cellStyle name="Обычный 6 2 3 4 2 4 5 3 3" xfId="13087"/>
    <cellStyle name="Обычный 6 2 3 4 2 4 5 4" xfId="6929"/>
    <cellStyle name="Обычный 6 2 3 4 2 4 5 4 2" xfId="13088"/>
    <cellStyle name="Обычный 6 2 3 4 2 4 5 5" xfId="13089"/>
    <cellStyle name="Обычный 6 2 3 4 2 4 6" xfId="1422"/>
    <cellStyle name="Обычный 6 2 3 4 2 4 6 2" xfId="2528"/>
    <cellStyle name="Обычный 6 2 3 4 2 4 6 2 2" xfId="5066"/>
    <cellStyle name="Обычный 6 2 3 4 2 4 6 2 2 2" xfId="10184"/>
    <cellStyle name="Обычный 6 2 3 4 2 4 6 2 2 2 2" xfId="13090"/>
    <cellStyle name="Обычный 6 2 3 4 2 4 6 2 2 3" xfId="13091"/>
    <cellStyle name="Обычный 6 2 3 4 2 4 6 2 3" xfId="8128"/>
    <cellStyle name="Обычный 6 2 3 4 2 4 6 2 3 2" xfId="13092"/>
    <cellStyle name="Обычный 6 2 3 4 2 4 6 2 4" xfId="13093"/>
    <cellStyle name="Обычный 6 2 3 4 2 4 6 3" xfId="4038"/>
    <cellStyle name="Обычный 6 2 3 4 2 4 6 3 2" xfId="9156"/>
    <cellStyle name="Обычный 6 2 3 4 2 4 6 3 2 2" xfId="13094"/>
    <cellStyle name="Обычный 6 2 3 4 2 4 6 3 3" xfId="13095"/>
    <cellStyle name="Обычный 6 2 3 4 2 4 6 4" xfId="7100"/>
    <cellStyle name="Обычный 6 2 3 4 2 4 6 4 2" xfId="13096"/>
    <cellStyle name="Обычный 6 2 3 4 2 4 6 5" xfId="13097"/>
    <cellStyle name="Обычный 6 2 3 4 2 4 7" xfId="1593"/>
    <cellStyle name="Обычный 6 2 3 4 2 4 7 2" xfId="2699"/>
    <cellStyle name="Обычный 6 2 3 4 2 4 7 2 2" xfId="5237"/>
    <cellStyle name="Обычный 6 2 3 4 2 4 7 2 2 2" xfId="10355"/>
    <cellStyle name="Обычный 6 2 3 4 2 4 7 2 2 2 2" xfId="13098"/>
    <cellStyle name="Обычный 6 2 3 4 2 4 7 2 2 3" xfId="13099"/>
    <cellStyle name="Обычный 6 2 3 4 2 4 7 2 3" xfId="8299"/>
    <cellStyle name="Обычный 6 2 3 4 2 4 7 2 3 2" xfId="13100"/>
    <cellStyle name="Обычный 6 2 3 4 2 4 7 2 4" xfId="13101"/>
    <cellStyle name="Обычный 6 2 3 4 2 4 7 3" xfId="4209"/>
    <cellStyle name="Обычный 6 2 3 4 2 4 7 3 2" xfId="9327"/>
    <cellStyle name="Обычный 6 2 3 4 2 4 7 3 2 2" xfId="13102"/>
    <cellStyle name="Обычный 6 2 3 4 2 4 7 3 3" xfId="13103"/>
    <cellStyle name="Обычный 6 2 3 4 2 4 7 4" xfId="7271"/>
    <cellStyle name="Обычный 6 2 3 4 2 4 7 4 2" xfId="13104"/>
    <cellStyle name="Обычный 6 2 3 4 2 4 7 5" xfId="13105"/>
    <cellStyle name="Обычный 6 2 3 4 2 4 8" xfId="3011"/>
    <cellStyle name="Обычный 6 2 3 4 3" xfId="278"/>
    <cellStyle name="Обычный 6 2 3 4 3 2" xfId="279"/>
    <cellStyle name="Обычный 6 2 3 4 3 2 2" xfId="710"/>
    <cellStyle name="Обычный 6 2 3 4 3 2 2 2" xfId="1838"/>
    <cellStyle name="Обычный 6 2 3 4 3 2 2 2 2" xfId="4381"/>
    <cellStyle name="Обычный 6 2 3 4 3 2 2 2 2 2" xfId="9499"/>
    <cellStyle name="Обычный 6 2 3 4 3 2 2 2 2 2 2" xfId="13106"/>
    <cellStyle name="Обычный 6 2 3 4 3 2 2 2 2 3" xfId="13107"/>
    <cellStyle name="Обычный 6 2 3 4 3 2 2 2 3" xfId="7443"/>
    <cellStyle name="Обычный 6 2 3 4 3 2 2 2 3 2" xfId="13108"/>
    <cellStyle name="Обычный 6 2 3 4 3 2 2 2 4" xfId="13109"/>
    <cellStyle name="Обычный 6 2 3 4 3 2 2 3" xfId="3353"/>
    <cellStyle name="Обычный 6 2 3 4 3 2 2 3 2" xfId="8471"/>
    <cellStyle name="Обычный 6 2 3 4 3 2 2 3 2 2" xfId="13110"/>
    <cellStyle name="Обычный 6 2 3 4 3 2 2 3 3" xfId="13111"/>
    <cellStyle name="Обычный 6 2 3 4 3 2 2 4" xfId="6415"/>
    <cellStyle name="Обычный 6 2 3 4 3 2 2 4 2" xfId="13112"/>
    <cellStyle name="Обычный 6 2 3 4 3 2 2 5" xfId="13113"/>
    <cellStyle name="Обычный 6 2 3 4 3 2 3" xfId="897"/>
    <cellStyle name="Обычный 6 2 3 4 3 2 3 2" xfId="2016"/>
    <cellStyle name="Обычный 6 2 3 4 3 2 3 2 2" xfId="4554"/>
    <cellStyle name="Обычный 6 2 3 4 3 2 3 2 2 2" xfId="9672"/>
    <cellStyle name="Обычный 6 2 3 4 3 2 3 2 2 2 2" xfId="13114"/>
    <cellStyle name="Обычный 6 2 3 4 3 2 3 2 2 3" xfId="13115"/>
    <cellStyle name="Обычный 6 2 3 4 3 2 3 2 3" xfId="7616"/>
    <cellStyle name="Обычный 6 2 3 4 3 2 3 2 3 2" xfId="13116"/>
    <cellStyle name="Обычный 6 2 3 4 3 2 3 2 4" xfId="13117"/>
    <cellStyle name="Обычный 6 2 3 4 3 2 3 3" xfId="3526"/>
    <cellStyle name="Обычный 6 2 3 4 3 2 3 3 2" xfId="8644"/>
    <cellStyle name="Обычный 6 2 3 4 3 2 3 3 2 2" xfId="13118"/>
    <cellStyle name="Обычный 6 2 3 4 3 2 3 3 3" xfId="13119"/>
    <cellStyle name="Обычный 6 2 3 4 3 2 3 4" xfId="6588"/>
    <cellStyle name="Обычный 6 2 3 4 3 2 3 4 2" xfId="13120"/>
    <cellStyle name="Обычный 6 2 3 4 3 2 3 5" xfId="13121"/>
    <cellStyle name="Обычный 6 2 3 4 3 2 4" xfId="1068"/>
    <cellStyle name="Обычный 6 2 3 4 3 2 4 2" xfId="2187"/>
    <cellStyle name="Обычный 6 2 3 4 3 2 4 2 2" xfId="4725"/>
    <cellStyle name="Обычный 6 2 3 4 3 2 4 2 2 2" xfId="9843"/>
    <cellStyle name="Обычный 6 2 3 4 3 2 4 2 2 2 2" xfId="13122"/>
    <cellStyle name="Обычный 6 2 3 4 3 2 4 2 2 3" xfId="13123"/>
    <cellStyle name="Обычный 6 2 3 4 3 2 4 2 3" xfId="7787"/>
    <cellStyle name="Обычный 6 2 3 4 3 2 4 2 3 2" xfId="13124"/>
    <cellStyle name="Обычный 6 2 3 4 3 2 4 2 4" xfId="13125"/>
    <cellStyle name="Обычный 6 2 3 4 3 2 4 3" xfId="3697"/>
    <cellStyle name="Обычный 6 2 3 4 3 2 4 3 2" xfId="8815"/>
    <cellStyle name="Обычный 6 2 3 4 3 2 4 3 2 2" xfId="13126"/>
    <cellStyle name="Обычный 6 2 3 4 3 2 4 3 3" xfId="13127"/>
    <cellStyle name="Обычный 6 2 3 4 3 2 4 4" xfId="6759"/>
    <cellStyle name="Обычный 6 2 3 4 3 2 4 4 2" xfId="13128"/>
    <cellStyle name="Обычный 6 2 3 4 3 2 4 5" xfId="13129"/>
    <cellStyle name="Обычный 6 2 3 4 3 2 5" xfId="1249"/>
    <cellStyle name="Обычный 6 2 3 4 3 2 5 2" xfId="2358"/>
    <cellStyle name="Обычный 6 2 3 4 3 2 5 2 2" xfId="4896"/>
    <cellStyle name="Обычный 6 2 3 4 3 2 5 2 2 2" xfId="10014"/>
    <cellStyle name="Обычный 6 2 3 4 3 2 5 2 2 2 2" xfId="13130"/>
    <cellStyle name="Обычный 6 2 3 4 3 2 5 2 2 3" xfId="13131"/>
    <cellStyle name="Обычный 6 2 3 4 3 2 5 2 3" xfId="7958"/>
    <cellStyle name="Обычный 6 2 3 4 3 2 5 2 3 2" xfId="13132"/>
    <cellStyle name="Обычный 6 2 3 4 3 2 5 2 4" xfId="13133"/>
    <cellStyle name="Обычный 6 2 3 4 3 2 5 3" xfId="3868"/>
    <cellStyle name="Обычный 6 2 3 4 3 2 5 3 2" xfId="8986"/>
    <cellStyle name="Обычный 6 2 3 4 3 2 5 3 2 2" xfId="13134"/>
    <cellStyle name="Обычный 6 2 3 4 3 2 5 3 3" xfId="13135"/>
    <cellStyle name="Обычный 6 2 3 4 3 2 5 4" xfId="6930"/>
    <cellStyle name="Обычный 6 2 3 4 3 2 5 4 2" xfId="13136"/>
    <cellStyle name="Обычный 6 2 3 4 3 2 5 5" xfId="13137"/>
    <cellStyle name="Обычный 6 2 3 4 3 2 6" xfId="1423"/>
    <cellStyle name="Обычный 6 2 3 4 3 2 6 2" xfId="2529"/>
    <cellStyle name="Обычный 6 2 3 4 3 2 6 2 2" xfId="5067"/>
    <cellStyle name="Обычный 6 2 3 4 3 2 6 2 2 2" xfId="10185"/>
    <cellStyle name="Обычный 6 2 3 4 3 2 6 2 2 2 2" xfId="13138"/>
    <cellStyle name="Обычный 6 2 3 4 3 2 6 2 2 3" xfId="13139"/>
    <cellStyle name="Обычный 6 2 3 4 3 2 6 2 3" xfId="8129"/>
    <cellStyle name="Обычный 6 2 3 4 3 2 6 2 3 2" xfId="13140"/>
    <cellStyle name="Обычный 6 2 3 4 3 2 6 2 4" xfId="13141"/>
    <cellStyle name="Обычный 6 2 3 4 3 2 6 3" xfId="4039"/>
    <cellStyle name="Обычный 6 2 3 4 3 2 6 3 2" xfId="9157"/>
    <cellStyle name="Обычный 6 2 3 4 3 2 6 3 2 2" xfId="13142"/>
    <cellStyle name="Обычный 6 2 3 4 3 2 6 3 3" xfId="13143"/>
    <cellStyle name="Обычный 6 2 3 4 3 2 6 4" xfId="7101"/>
    <cellStyle name="Обычный 6 2 3 4 3 2 6 4 2" xfId="13144"/>
    <cellStyle name="Обычный 6 2 3 4 3 2 6 5" xfId="13145"/>
    <cellStyle name="Обычный 6 2 3 4 3 2 7" xfId="1594"/>
    <cellStyle name="Обычный 6 2 3 4 3 2 7 2" xfId="2700"/>
    <cellStyle name="Обычный 6 2 3 4 3 2 7 2 2" xfId="5238"/>
    <cellStyle name="Обычный 6 2 3 4 3 2 7 2 2 2" xfId="10356"/>
    <cellStyle name="Обычный 6 2 3 4 3 2 7 2 2 2 2" xfId="13146"/>
    <cellStyle name="Обычный 6 2 3 4 3 2 7 2 2 3" xfId="13147"/>
    <cellStyle name="Обычный 6 2 3 4 3 2 7 2 3" xfId="8300"/>
    <cellStyle name="Обычный 6 2 3 4 3 2 7 2 3 2" xfId="13148"/>
    <cellStyle name="Обычный 6 2 3 4 3 2 7 2 4" xfId="13149"/>
    <cellStyle name="Обычный 6 2 3 4 3 2 7 3" xfId="4210"/>
    <cellStyle name="Обычный 6 2 3 4 3 2 7 3 2" xfId="9328"/>
    <cellStyle name="Обычный 6 2 3 4 3 2 7 3 2 2" xfId="13150"/>
    <cellStyle name="Обычный 6 2 3 4 3 2 7 3 3" xfId="13151"/>
    <cellStyle name="Обычный 6 2 3 4 3 2 7 4" xfId="7272"/>
    <cellStyle name="Обычный 6 2 3 4 3 2 7 4 2" xfId="13152"/>
    <cellStyle name="Обычный 6 2 3 4 3 2 7 5" xfId="13153"/>
    <cellStyle name="Обычный 6 2 3 4 3 2 8" xfId="3012"/>
    <cellStyle name="Обычный 6 2 3 4 4" xfId="280"/>
    <cellStyle name="Обычный 6 2 3 4 4 2" xfId="281"/>
    <cellStyle name="Обычный 6 2 3 4 4 2 2" xfId="711"/>
    <cellStyle name="Обычный 6 2 3 4 4 2 2 2" xfId="1839"/>
    <cellStyle name="Обычный 6 2 3 4 4 2 2 2 2" xfId="4382"/>
    <cellStyle name="Обычный 6 2 3 4 4 2 2 2 2 2" xfId="9500"/>
    <cellStyle name="Обычный 6 2 3 4 4 2 2 2 2 2 2" xfId="13154"/>
    <cellStyle name="Обычный 6 2 3 4 4 2 2 2 2 3" xfId="13155"/>
    <cellStyle name="Обычный 6 2 3 4 4 2 2 2 3" xfId="7444"/>
    <cellStyle name="Обычный 6 2 3 4 4 2 2 2 3 2" xfId="13156"/>
    <cellStyle name="Обычный 6 2 3 4 4 2 2 2 4" xfId="13157"/>
    <cellStyle name="Обычный 6 2 3 4 4 2 2 3" xfId="3354"/>
    <cellStyle name="Обычный 6 2 3 4 4 2 2 3 2" xfId="8472"/>
    <cellStyle name="Обычный 6 2 3 4 4 2 2 3 2 2" xfId="13158"/>
    <cellStyle name="Обычный 6 2 3 4 4 2 2 3 3" xfId="13159"/>
    <cellStyle name="Обычный 6 2 3 4 4 2 2 4" xfId="6416"/>
    <cellStyle name="Обычный 6 2 3 4 4 2 2 4 2" xfId="13160"/>
    <cellStyle name="Обычный 6 2 3 4 4 2 2 5" xfId="13161"/>
    <cellStyle name="Обычный 6 2 3 4 4 2 3" xfId="898"/>
    <cellStyle name="Обычный 6 2 3 4 4 2 3 2" xfId="2017"/>
    <cellStyle name="Обычный 6 2 3 4 4 2 3 2 2" xfId="4555"/>
    <cellStyle name="Обычный 6 2 3 4 4 2 3 2 2 2" xfId="9673"/>
    <cellStyle name="Обычный 6 2 3 4 4 2 3 2 2 2 2" xfId="13162"/>
    <cellStyle name="Обычный 6 2 3 4 4 2 3 2 2 3" xfId="13163"/>
    <cellStyle name="Обычный 6 2 3 4 4 2 3 2 3" xfId="7617"/>
    <cellStyle name="Обычный 6 2 3 4 4 2 3 2 3 2" xfId="13164"/>
    <cellStyle name="Обычный 6 2 3 4 4 2 3 2 4" xfId="13165"/>
    <cellStyle name="Обычный 6 2 3 4 4 2 3 3" xfId="3527"/>
    <cellStyle name="Обычный 6 2 3 4 4 2 3 3 2" xfId="8645"/>
    <cellStyle name="Обычный 6 2 3 4 4 2 3 3 2 2" xfId="13166"/>
    <cellStyle name="Обычный 6 2 3 4 4 2 3 3 3" xfId="13167"/>
    <cellStyle name="Обычный 6 2 3 4 4 2 3 4" xfId="6589"/>
    <cellStyle name="Обычный 6 2 3 4 4 2 3 4 2" xfId="13168"/>
    <cellStyle name="Обычный 6 2 3 4 4 2 3 5" xfId="13169"/>
    <cellStyle name="Обычный 6 2 3 4 4 2 4" xfId="1069"/>
    <cellStyle name="Обычный 6 2 3 4 4 2 4 2" xfId="2188"/>
    <cellStyle name="Обычный 6 2 3 4 4 2 4 2 2" xfId="4726"/>
    <cellStyle name="Обычный 6 2 3 4 4 2 4 2 2 2" xfId="9844"/>
    <cellStyle name="Обычный 6 2 3 4 4 2 4 2 2 2 2" xfId="13170"/>
    <cellStyle name="Обычный 6 2 3 4 4 2 4 2 2 3" xfId="13171"/>
    <cellStyle name="Обычный 6 2 3 4 4 2 4 2 3" xfId="7788"/>
    <cellStyle name="Обычный 6 2 3 4 4 2 4 2 3 2" xfId="13172"/>
    <cellStyle name="Обычный 6 2 3 4 4 2 4 2 4" xfId="13173"/>
    <cellStyle name="Обычный 6 2 3 4 4 2 4 3" xfId="3698"/>
    <cellStyle name="Обычный 6 2 3 4 4 2 4 3 2" xfId="8816"/>
    <cellStyle name="Обычный 6 2 3 4 4 2 4 3 2 2" xfId="13174"/>
    <cellStyle name="Обычный 6 2 3 4 4 2 4 3 3" xfId="13175"/>
    <cellStyle name="Обычный 6 2 3 4 4 2 4 4" xfId="6760"/>
    <cellStyle name="Обычный 6 2 3 4 4 2 4 4 2" xfId="13176"/>
    <cellStyle name="Обычный 6 2 3 4 4 2 4 5" xfId="13177"/>
    <cellStyle name="Обычный 6 2 3 4 4 2 5" xfId="1250"/>
    <cellStyle name="Обычный 6 2 3 4 4 2 5 2" xfId="2359"/>
    <cellStyle name="Обычный 6 2 3 4 4 2 5 2 2" xfId="4897"/>
    <cellStyle name="Обычный 6 2 3 4 4 2 5 2 2 2" xfId="10015"/>
    <cellStyle name="Обычный 6 2 3 4 4 2 5 2 2 2 2" xfId="13178"/>
    <cellStyle name="Обычный 6 2 3 4 4 2 5 2 2 3" xfId="13179"/>
    <cellStyle name="Обычный 6 2 3 4 4 2 5 2 3" xfId="7959"/>
    <cellStyle name="Обычный 6 2 3 4 4 2 5 2 3 2" xfId="13180"/>
    <cellStyle name="Обычный 6 2 3 4 4 2 5 2 4" xfId="13181"/>
    <cellStyle name="Обычный 6 2 3 4 4 2 5 3" xfId="3869"/>
    <cellStyle name="Обычный 6 2 3 4 4 2 5 3 2" xfId="8987"/>
    <cellStyle name="Обычный 6 2 3 4 4 2 5 3 2 2" xfId="13182"/>
    <cellStyle name="Обычный 6 2 3 4 4 2 5 3 3" xfId="13183"/>
    <cellStyle name="Обычный 6 2 3 4 4 2 5 4" xfId="6931"/>
    <cellStyle name="Обычный 6 2 3 4 4 2 5 4 2" xfId="13184"/>
    <cellStyle name="Обычный 6 2 3 4 4 2 5 5" xfId="13185"/>
    <cellStyle name="Обычный 6 2 3 4 4 2 6" xfId="1424"/>
    <cellStyle name="Обычный 6 2 3 4 4 2 6 2" xfId="2530"/>
    <cellStyle name="Обычный 6 2 3 4 4 2 6 2 2" xfId="5068"/>
    <cellStyle name="Обычный 6 2 3 4 4 2 6 2 2 2" xfId="10186"/>
    <cellStyle name="Обычный 6 2 3 4 4 2 6 2 2 2 2" xfId="13186"/>
    <cellStyle name="Обычный 6 2 3 4 4 2 6 2 2 3" xfId="13187"/>
    <cellStyle name="Обычный 6 2 3 4 4 2 6 2 3" xfId="8130"/>
    <cellStyle name="Обычный 6 2 3 4 4 2 6 2 3 2" xfId="13188"/>
    <cellStyle name="Обычный 6 2 3 4 4 2 6 2 4" xfId="13189"/>
    <cellStyle name="Обычный 6 2 3 4 4 2 6 3" xfId="4040"/>
    <cellStyle name="Обычный 6 2 3 4 4 2 6 3 2" xfId="9158"/>
    <cellStyle name="Обычный 6 2 3 4 4 2 6 3 2 2" xfId="13190"/>
    <cellStyle name="Обычный 6 2 3 4 4 2 6 3 3" xfId="13191"/>
    <cellStyle name="Обычный 6 2 3 4 4 2 6 4" xfId="7102"/>
    <cellStyle name="Обычный 6 2 3 4 4 2 6 4 2" xfId="13192"/>
    <cellStyle name="Обычный 6 2 3 4 4 2 6 5" xfId="13193"/>
    <cellStyle name="Обычный 6 2 3 4 4 2 7" xfId="1595"/>
    <cellStyle name="Обычный 6 2 3 4 4 2 7 2" xfId="2701"/>
    <cellStyle name="Обычный 6 2 3 4 4 2 7 2 2" xfId="5239"/>
    <cellStyle name="Обычный 6 2 3 4 4 2 7 2 2 2" xfId="10357"/>
    <cellStyle name="Обычный 6 2 3 4 4 2 7 2 2 2 2" xfId="13194"/>
    <cellStyle name="Обычный 6 2 3 4 4 2 7 2 2 3" xfId="13195"/>
    <cellStyle name="Обычный 6 2 3 4 4 2 7 2 3" xfId="8301"/>
    <cellStyle name="Обычный 6 2 3 4 4 2 7 2 3 2" xfId="13196"/>
    <cellStyle name="Обычный 6 2 3 4 4 2 7 2 4" xfId="13197"/>
    <cellStyle name="Обычный 6 2 3 4 4 2 7 3" xfId="4211"/>
    <cellStyle name="Обычный 6 2 3 4 4 2 7 3 2" xfId="9329"/>
    <cellStyle name="Обычный 6 2 3 4 4 2 7 3 2 2" xfId="13198"/>
    <cellStyle name="Обычный 6 2 3 4 4 2 7 3 3" xfId="13199"/>
    <cellStyle name="Обычный 6 2 3 4 4 2 7 4" xfId="7273"/>
    <cellStyle name="Обычный 6 2 3 4 4 2 7 4 2" xfId="13200"/>
    <cellStyle name="Обычный 6 2 3 4 4 2 7 5" xfId="13201"/>
    <cellStyle name="Обычный 6 2 3 4 4 2 8" xfId="3013"/>
    <cellStyle name="Обычный 6 2 3 4 5" xfId="282"/>
    <cellStyle name="Обычный 6 2 3 4 5 2" xfId="712"/>
    <cellStyle name="Обычный 6 2 3 4 5 2 2" xfId="1840"/>
    <cellStyle name="Обычный 6 2 3 4 5 2 2 2" xfId="4383"/>
    <cellStyle name="Обычный 6 2 3 4 5 2 2 2 2" xfId="9501"/>
    <cellStyle name="Обычный 6 2 3 4 5 2 2 2 2 2" xfId="13202"/>
    <cellStyle name="Обычный 6 2 3 4 5 2 2 2 3" xfId="13203"/>
    <cellStyle name="Обычный 6 2 3 4 5 2 2 3" xfId="7445"/>
    <cellStyle name="Обычный 6 2 3 4 5 2 2 3 2" xfId="13204"/>
    <cellStyle name="Обычный 6 2 3 4 5 2 2 4" xfId="13205"/>
    <cellStyle name="Обычный 6 2 3 4 5 2 3" xfId="3355"/>
    <cellStyle name="Обычный 6 2 3 4 5 2 3 2" xfId="8473"/>
    <cellStyle name="Обычный 6 2 3 4 5 2 3 2 2" xfId="13206"/>
    <cellStyle name="Обычный 6 2 3 4 5 2 3 3" xfId="13207"/>
    <cellStyle name="Обычный 6 2 3 4 5 2 4" xfId="6417"/>
    <cellStyle name="Обычный 6 2 3 4 5 2 4 2" xfId="13208"/>
    <cellStyle name="Обычный 6 2 3 4 5 2 5" xfId="13209"/>
    <cellStyle name="Обычный 6 2 3 4 5 3" xfId="899"/>
    <cellStyle name="Обычный 6 2 3 4 5 3 2" xfId="2018"/>
    <cellStyle name="Обычный 6 2 3 4 5 3 2 2" xfId="4556"/>
    <cellStyle name="Обычный 6 2 3 4 5 3 2 2 2" xfId="9674"/>
    <cellStyle name="Обычный 6 2 3 4 5 3 2 2 2 2" xfId="13210"/>
    <cellStyle name="Обычный 6 2 3 4 5 3 2 2 3" xfId="13211"/>
    <cellStyle name="Обычный 6 2 3 4 5 3 2 3" xfId="7618"/>
    <cellStyle name="Обычный 6 2 3 4 5 3 2 3 2" xfId="13212"/>
    <cellStyle name="Обычный 6 2 3 4 5 3 2 4" xfId="13213"/>
    <cellStyle name="Обычный 6 2 3 4 5 3 3" xfId="3528"/>
    <cellStyle name="Обычный 6 2 3 4 5 3 3 2" xfId="8646"/>
    <cellStyle name="Обычный 6 2 3 4 5 3 3 2 2" xfId="13214"/>
    <cellStyle name="Обычный 6 2 3 4 5 3 3 3" xfId="13215"/>
    <cellStyle name="Обычный 6 2 3 4 5 3 4" xfId="6590"/>
    <cellStyle name="Обычный 6 2 3 4 5 3 4 2" xfId="13216"/>
    <cellStyle name="Обычный 6 2 3 4 5 3 5" xfId="13217"/>
    <cellStyle name="Обычный 6 2 3 4 5 4" xfId="1070"/>
    <cellStyle name="Обычный 6 2 3 4 5 4 2" xfId="2189"/>
    <cellStyle name="Обычный 6 2 3 4 5 4 2 2" xfId="4727"/>
    <cellStyle name="Обычный 6 2 3 4 5 4 2 2 2" xfId="9845"/>
    <cellStyle name="Обычный 6 2 3 4 5 4 2 2 2 2" xfId="13218"/>
    <cellStyle name="Обычный 6 2 3 4 5 4 2 2 3" xfId="13219"/>
    <cellStyle name="Обычный 6 2 3 4 5 4 2 3" xfId="7789"/>
    <cellStyle name="Обычный 6 2 3 4 5 4 2 3 2" xfId="13220"/>
    <cellStyle name="Обычный 6 2 3 4 5 4 2 4" xfId="13221"/>
    <cellStyle name="Обычный 6 2 3 4 5 4 3" xfId="3699"/>
    <cellStyle name="Обычный 6 2 3 4 5 4 3 2" xfId="8817"/>
    <cellStyle name="Обычный 6 2 3 4 5 4 3 2 2" xfId="13222"/>
    <cellStyle name="Обычный 6 2 3 4 5 4 3 3" xfId="13223"/>
    <cellStyle name="Обычный 6 2 3 4 5 4 4" xfId="6761"/>
    <cellStyle name="Обычный 6 2 3 4 5 4 4 2" xfId="13224"/>
    <cellStyle name="Обычный 6 2 3 4 5 4 5" xfId="13225"/>
    <cellStyle name="Обычный 6 2 3 4 5 5" xfId="1251"/>
    <cellStyle name="Обычный 6 2 3 4 5 5 2" xfId="2360"/>
    <cellStyle name="Обычный 6 2 3 4 5 5 2 2" xfId="4898"/>
    <cellStyle name="Обычный 6 2 3 4 5 5 2 2 2" xfId="10016"/>
    <cellStyle name="Обычный 6 2 3 4 5 5 2 2 2 2" xfId="13226"/>
    <cellStyle name="Обычный 6 2 3 4 5 5 2 2 3" xfId="13227"/>
    <cellStyle name="Обычный 6 2 3 4 5 5 2 3" xfId="7960"/>
    <cellStyle name="Обычный 6 2 3 4 5 5 2 3 2" xfId="13228"/>
    <cellStyle name="Обычный 6 2 3 4 5 5 2 4" xfId="13229"/>
    <cellStyle name="Обычный 6 2 3 4 5 5 3" xfId="3870"/>
    <cellStyle name="Обычный 6 2 3 4 5 5 3 2" xfId="8988"/>
    <cellStyle name="Обычный 6 2 3 4 5 5 3 2 2" xfId="13230"/>
    <cellStyle name="Обычный 6 2 3 4 5 5 3 3" xfId="13231"/>
    <cellStyle name="Обычный 6 2 3 4 5 5 4" xfId="6932"/>
    <cellStyle name="Обычный 6 2 3 4 5 5 4 2" xfId="13232"/>
    <cellStyle name="Обычный 6 2 3 4 5 5 5" xfId="13233"/>
    <cellStyle name="Обычный 6 2 3 4 5 6" xfId="1425"/>
    <cellStyle name="Обычный 6 2 3 4 5 6 2" xfId="2531"/>
    <cellStyle name="Обычный 6 2 3 4 5 6 2 2" xfId="5069"/>
    <cellStyle name="Обычный 6 2 3 4 5 6 2 2 2" xfId="10187"/>
    <cellStyle name="Обычный 6 2 3 4 5 6 2 2 2 2" xfId="13234"/>
    <cellStyle name="Обычный 6 2 3 4 5 6 2 2 3" xfId="13235"/>
    <cellStyle name="Обычный 6 2 3 4 5 6 2 3" xfId="8131"/>
    <cellStyle name="Обычный 6 2 3 4 5 6 2 3 2" xfId="13236"/>
    <cellStyle name="Обычный 6 2 3 4 5 6 2 4" xfId="13237"/>
    <cellStyle name="Обычный 6 2 3 4 5 6 3" xfId="4041"/>
    <cellStyle name="Обычный 6 2 3 4 5 6 3 2" xfId="9159"/>
    <cellStyle name="Обычный 6 2 3 4 5 6 3 2 2" xfId="13238"/>
    <cellStyle name="Обычный 6 2 3 4 5 6 3 3" xfId="13239"/>
    <cellStyle name="Обычный 6 2 3 4 5 6 4" xfId="7103"/>
    <cellStyle name="Обычный 6 2 3 4 5 6 4 2" xfId="13240"/>
    <cellStyle name="Обычный 6 2 3 4 5 6 5" xfId="13241"/>
    <cellStyle name="Обычный 6 2 3 4 5 7" xfId="1596"/>
    <cellStyle name="Обычный 6 2 3 4 5 7 2" xfId="2702"/>
    <cellStyle name="Обычный 6 2 3 4 5 7 2 2" xfId="5240"/>
    <cellStyle name="Обычный 6 2 3 4 5 7 2 2 2" xfId="10358"/>
    <cellStyle name="Обычный 6 2 3 4 5 7 2 2 2 2" xfId="13242"/>
    <cellStyle name="Обычный 6 2 3 4 5 7 2 2 3" xfId="13243"/>
    <cellStyle name="Обычный 6 2 3 4 5 7 2 3" xfId="8302"/>
    <cellStyle name="Обычный 6 2 3 4 5 7 2 3 2" xfId="13244"/>
    <cellStyle name="Обычный 6 2 3 4 5 7 2 4" xfId="13245"/>
    <cellStyle name="Обычный 6 2 3 4 5 7 3" xfId="4212"/>
    <cellStyle name="Обычный 6 2 3 4 5 7 3 2" xfId="9330"/>
    <cellStyle name="Обычный 6 2 3 4 5 7 3 2 2" xfId="13246"/>
    <cellStyle name="Обычный 6 2 3 4 5 7 3 3" xfId="13247"/>
    <cellStyle name="Обычный 6 2 3 4 5 7 4" xfId="7274"/>
    <cellStyle name="Обычный 6 2 3 4 5 7 4 2" xfId="13248"/>
    <cellStyle name="Обычный 6 2 3 4 5 7 5" xfId="13249"/>
    <cellStyle name="Обычный 6 2 3 4 5 8" xfId="3014"/>
    <cellStyle name="Обычный 6 2 3 5" xfId="283"/>
    <cellStyle name="Обычный 6 2 3 5 2" xfId="284"/>
    <cellStyle name="Обычный 6 2 3 5 2 2" xfId="285"/>
    <cellStyle name="Обычный 6 2 3 5 2 2 2" xfId="713"/>
    <cellStyle name="Обычный 6 2 3 5 2 2 2 2" xfId="1841"/>
    <cellStyle name="Обычный 6 2 3 5 2 2 2 2 2" xfId="4384"/>
    <cellStyle name="Обычный 6 2 3 5 2 2 2 2 2 2" xfId="9502"/>
    <cellStyle name="Обычный 6 2 3 5 2 2 2 2 2 2 2" xfId="13250"/>
    <cellStyle name="Обычный 6 2 3 5 2 2 2 2 2 3" xfId="13251"/>
    <cellStyle name="Обычный 6 2 3 5 2 2 2 2 3" xfId="7446"/>
    <cellStyle name="Обычный 6 2 3 5 2 2 2 2 3 2" xfId="13252"/>
    <cellStyle name="Обычный 6 2 3 5 2 2 2 2 4" xfId="13253"/>
    <cellStyle name="Обычный 6 2 3 5 2 2 2 3" xfId="3356"/>
    <cellStyle name="Обычный 6 2 3 5 2 2 2 3 2" xfId="8474"/>
    <cellStyle name="Обычный 6 2 3 5 2 2 2 3 2 2" xfId="13254"/>
    <cellStyle name="Обычный 6 2 3 5 2 2 2 3 3" xfId="13255"/>
    <cellStyle name="Обычный 6 2 3 5 2 2 2 4" xfId="6418"/>
    <cellStyle name="Обычный 6 2 3 5 2 2 2 4 2" xfId="13256"/>
    <cellStyle name="Обычный 6 2 3 5 2 2 2 5" xfId="13257"/>
    <cellStyle name="Обычный 6 2 3 5 2 2 3" xfId="900"/>
    <cellStyle name="Обычный 6 2 3 5 2 2 3 2" xfId="2019"/>
    <cellStyle name="Обычный 6 2 3 5 2 2 3 2 2" xfId="4557"/>
    <cellStyle name="Обычный 6 2 3 5 2 2 3 2 2 2" xfId="9675"/>
    <cellStyle name="Обычный 6 2 3 5 2 2 3 2 2 2 2" xfId="13258"/>
    <cellStyle name="Обычный 6 2 3 5 2 2 3 2 2 3" xfId="13259"/>
    <cellStyle name="Обычный 6 2 3 5 2 2 3 2 3" xfId="7619"/>
    <cellStyle name="Обычный 6 2 3 5 2 2 3 2 3 2" xfId="13260"/>
    <cellStyle name="Обычный 6 2 3 5 2 2 3 2 4" xfId="13261"/>
    <cellStyle name="Обычный 6 2 3 5 2 2 3 3" xfId="3529"/>
    <cellStyle name="Обычный 6 2 3 5 2 2 3 3 2" xfId="8647"/>
    <cellStyle name="Обычный 6 2 3 5 2 2 3 3 2 2" xfId="13262"/>
    <cellStyle name="Обычный 6 2 3 5 2 2 3 3 3" xfId="13263"/>
    <cellStyle name="Обычный 6 2 3 5 2 2 3 4" xfId="6591"/>
    <cellStyle name="Обычный 6 2 3 5 2 2 3 4 2" xfId="13264"/>
    <cellStyle name="Обычный 6 2 3 5 2 2 3 5" xfId="13265"/>
    <cellStyle name="Обычный 6 2 3 5 2 2 4" xfId="1071"/>
    <cellStyle name="Обычный 6 2 3 5 2 2 4 2" xfId="2190"/>
    <cellStyle name="Обычный 6 2 3 5 2 2 4 2 2" xfId="4728"/>
    <cellStyle name="Обычный 6 2 3 5 2 2 4 2 2 2" xfId="9846"/>
    <cellStyle name="Обычный 6 2 3 5 2 2 4 2 2 2 2" xfId="13266"/>
    <cellStyle name="Обычный 6 2 3 5 2 2 4 2 2 3" xfId="13267"/>
    <cellStyle name="Обычный 6 2 3 5 2 2 4 2 3" xfId="7790"/>
    <cellStyle name="Обычный 6 2 3 5 2 2 4 2 3 2" xfId="13268"/>
    <cellStyle name="Обычный 6 2 3 5 2 2 4 2 4" xfId="13269"/>
    <cellStyle name="Обычный 6 2 3 5 2 2 4 3" xfId="3700"/>
    <cellStyle name="Обычный 6 2 3 5 2 2 4 3 2" xfId="8818"/>
    <cellStyle name="Обычный 6 2 3 5 2 2 4 3 2 2" xfId="13270"/>
    <cellStyle name="Обычный 6 2 3 5 2 2 4 3 3" xfId="13271"/>
    <cellStyle name="Обычный 6 2 3 5 2 2 4 4" xfId="6762"/>
    <cellStyle name="Обычный 6 2 3 5 2 2 4 4 2" xfId="13272"/>
    <cellStyle name="Обычный 6 2 3 5 2 2 4 5" xfId="13273"/>
    <cellStyle name="Обычный 6 2 3 5 2 2 5" xfId="1252"/>
    <cellStyle name="Обычный 6 2 3 5 2 2 5 2" xfId="2361"/>
    <cellStyle name="Обычный 6 2 3 5 2 2 5 2 2" xfId="4899"/>
    <cellStyle name="Обычный 6 2 3 5 2 2 5 2 2 2" xfId="10017"/>
    <cellStyle name="Обычный 6 2 3 5 2 2 5 2 2 2 2" xfId="13274"/>
    <cellStyle name="Обычный 6 2 3 5 2 2 5 2 2 3" xfId="13275"/>
    <cellStyle name="Обычный 6 2 3 5 2 2 5 2 3" xfId="7961"/>
    <cellStyle name="Обычный 6 2 3 5 2 2 5 2 3 2" xfId="13276"/>
    <cellStyle name="Обычный 6 2 3 5 2 2 5 2 4" xfId="13277"/>
    <cellStyle name="Обычный 6 2 3 5 2 2 5 3" xfId="3871"/>
    <cellStyle name="Обычный 6 2 3 5 2 2 5 3 2" xfId="8989"/>
    <cellStyle name="Обычный 6 2 3 5 2 2 5 3 2 2" xfId="13278"/>
    <cellStyle name="Обычный 6 2 3 5 2 2 5 3 3" xfId="13279"/>
    <cellStyle name="Обычный 6 2 3 5 2 2 5 4" xfId="6933"/>
    <cellStyle name="Обычный 6 2 3 5 2 2 5 4 2" xfId="13280"/>
    <cellStyle name="Обычный 6 2 3 5 2 2 5 5" xfId="13281"/>
    <cellStyle name="Обычный 6 2 3 5 2 2 6" xfId="1426"/>
    <cellStyle name="Обычный 6 2 3 5 2 2 6 2" xfId="2532"/>
    <cellStyle name="Обычный 6 2 3 5 2 2 6 2 2" xfId="5070"/>
    <cellStyle name="Обычный 6 2 3 5 2 2 6 2 2 2" xfId="10188"/>
    <cellStyle name="Обычный 6 2 3 5 2 2 6 2 2 2 2" xfId="13282"/>
    <cellStyle name="Обычный 6 2 3 5 2 2 6 2 2 3" xfId="13283"/>
    <cellStyle name="Обычный 6 2 3 5 2 2 6 2 3" xfId="8132"/>
    <cellStyle name="Обычный 6 2 3 5 2 2 6 2 3 2" xfId="13284"/>
    <cellStyle name="Обычный 6 2 3 5 2 2 6 2 4" xfId="13285"/>
    <cellStyle name="Обычный 6 2 3 5 2 2 6 3" xfId="4042"/>
    <cellStyle name="Обычный 6 2 3 5 2 2 6 3 2" xfId="9160"/>
    <cellStyle name="Обычный 6 2 3 5 2 2 6 3 2 2" xfId="13286"/>
    <cellStyle name="Обычный 6 2 3 5 2 2 6 3 3" xfId="13287"/>
    <cellStyle name="Обычный 6 2 3 5 2 2 6 4" xfId="7104"/>
    <cellStyle name="Обычный 6 2 3 5 2 2 6 4 2" xfId="13288"/>
    <cellStyle name="Обычный 6 2 3 5 2 2 6 5" xfId="13289"/>
    <cellStyle name="Обычный 6 2 3 5 2 2 7" xfId="1597"/>
    <cellStyle name="Обычный 6 2 3 5 2 2 7 2" xfId="2703"/>
    <cellStyle name="Обычный 6 2 3 5 2 2 7 2 2" xfId="5241"/>
    <cellStyle name="Обычный 6 2 3 5 2 2 7 2 2 2" xfId="10359"/>
    <cellStyle name="Обычный 6 2 3 5 2 2 7 2 2 2 2" xfId="13290"/>
    <cellStyle name="Обычный 6 2 3 5 2 2 7 2 2 3" xfId="13291"/>
    <cellStyle name="Обычный 6 2 3 5 2 2 7 2 3" xfId="8303"/>
    <cellStyle name="Обычный 6 2 3 5 2 2 7 2 3 2" xfId="13292"/>
    <cellStyle name="Обычный 6 2 3 5 2 2 7 2 4" xfId="13293"/>
    <cellStyle name="Обычный 6 2 3 5 2 2 7 3" xfId="4213"/>
    <cellStyle name="Обычный 6 2 3 5 2 2 7 3 2" xfId="9331"/>
    <cellStyle name="Обычный 6 2 3 5 2 2 7 3 2 2" xfId="13294"/>
    <cellStyle name="Обычный 6 2 3 5 2 2 7 3 3" xfId="13295"/>
    <cellStyle name="Обычный 6 2 3 5 2 2 7 4" xfId="7275"/>
    <cellStyle name="Обычный 6 2 3 5 2 2 7 4 2" xfId="13296"/>
    <cellStyle name="Обычный 6 2 3 5 2 2 7 5" xfId="13297"/>
    <cellStyle name="Обычный 6 2 3 5 2 2 8" xfId="3015"/>
    <cellStyle name="Обычный 6 2 3 5 3" xfId="286"/>
    <cellStyle name="Обычный 6 2 3 5 3 2" xfId="287"/>
    <cellStyle name="Обычный 6 2 3 5 3 2 2" xfId="714"/>
    <cellStyle name="Обычный 6 2 3 5 3 2 2 2" xfId="1842"/>
    <cellStyle name="Обычный 6 2 3 5 3 2 2 2 2" xfId="4385"/>
    <cellStyle name="Обычный 6 2 3 5 3 2 2 2 2 2" xfId="9503"/>
    <cellStyle name="Обычный 6 2 3 5 3 2 2 2 2 2 2" xfId="13298"/>
    <cellStyle name="Обычный 6 2 3 5 3 2 2 2 2 3" xfId="13299"/>
    <cellStyle name="Обычный 6 2 3 5 3 2 2 2 3" xfId="7447"/>
    <cellStyle name="Обычный 6 2 3 5 3 2 2 2 3 2" xfId="13300"/>
    <cellStyle name="Обычный 6 2 3 5 3 2 2 2 4" xfId="13301"/>
    <cellStyle name="Обычный 6 2 3 5 3 2 2 3" xfId="3357"/>
    <cellStyle name="Обычный 6 2 3 5 3 2 2 3 2" xfId="8475"/>
    <cellStyle name="Обычный 6 2 3 5 3 2 2 3 2 2" xfId="13302"/>
    <cellStyle name="Обычный 6 2 3 5 3 2 2 3 3" xfId="13303"/>
    <cellStyle name="Обычный 6 2 3 5 3 2 2 4" xfId="6419"/>
    <cellStyle name="Обычный 6 2 3 5 3 2 2 4 2" xfId="13304"/>
    <cellStyle name="Обычный 6 2 3 5 3 2 2 5" xfId="13305"/>
    <cellStyle name="Обычный 6 2 3 5 3 2 3" xfId="901"/>
    <cellStyle name="Обычный 6 2 3 5 3 2 3 2" xfId="2020"/>
    <cellStyle name="Обычный 6 2 3 5 3 2 3 2 2" xfId="4558"/>
    <cellStyle name="Обычный 6 2 3 5 3 2 3 2 2 2" xfId="9676"/>
    <cellStyle name="Обычный 6 2 3 5 3 2 3 2 2 2 2" xfId="13306"/>
    <cellStyle name="Обычный 6 2 3 5 3 2 3 2 2 3" xfId="13307"/>
    <cellStyle name="Обычный 6 2 3 5 3 2 3 2 3" xfId="7620"/>
    <cellStyle name="Обычный 6 2 3 5 3 2 3 2 3 2" xfId="13308"/>
    <cellStyle name="Обычный 6 2 3 5 3 2 3 2 4" xfId="13309"/>
    <cellStyle name="Обычный 6 2 3 5 3 2 3 3" xfId="3530"/>
    <cellStyle name="Обычный 6 2 3 5 3 2 3 3 2" xfId="8648"/>
    <cellStyle name="Обычный 6 2 3 5 3 2 3 3 2 2" xfId="13310"/>
    <cellStyle name="Обычный 6 2 3 5 3 2 3 3 3" xfId="13311"/>
    <cellStyle name="Обычный 6 2 3 5 3 2 3 4" xfId="6592"/>
    <cellStyle name="Обычный 6 2 3 5 3 2 3 4 2" xfId="13312"/>
    <cellStyle name="Обычный 6 2 3 5 3 2 3 5" xfId="13313"/>
    <cellStyle name="Обычный 6 2 3 5 3 2 4" xfId="1072"/>
    <cellStyle name="Обычный 6 2 3 5 3 2 4 2" xfId="2191"/>
    <cellStyle name="Обычный 6 2 3 5 3 2 4 2 2" xfId="4729"/>
    <cellStyle name="Обычный 6 2 3 5 3 2 4 2 2 2" xfId="9847"/>
    <cellStyle name="Обычный 6 2 3 5 3 2 4 2 2 2 2" xfId="13314"/>
    <cellStyle name="Обычный 6 2 3 5 3 2 4 2 2 3" xfId="13315"/>
    <cellStyle name="Обычный 6 2 3 5 3 2 4 2 3" xfId="7791"/>
    <cellStyle name="Обычный 6 2 3 5 3 2 4 2 3 2" xfId="13316"/>
    <cellStyle name="Обычный 6 2 3 5 3 2 4 2 4" xfId="13317"/>
    <cellStyle name="Обычный 6 2 3 5 3 2 4 3" xfId="3701"/>
    <cellStyle name="Обычный 6 2 3 5 3 2 4 3 2" xfId="8819"/>
    <cellStyle name="Обычный 6 2 3 5 3 2 4 3 2 2" xfId="13318"/>
    <cellStyle name="Обычный 6 2 3 5 3 2 4 3 3" xfId="13319"/>
    <cellStyle name="Обычный 6 2 3 5 3 2 4 4" xfId="6763"/>
    <cellStyle name="Обычный 6 2 3 5 3 2 4 4 2" xfId="13320"/>
    <cellStyle name="Обычный 6 2 3 5 3 2 4 5" xfId="13321"/>
    <cellStyle name="Обычный 6 2 3 5 3 2 5" xfId="1253"/>
    <cellStyle name="Обычный 6 2 3 5 3 2 5 2" xfId="2362"/>
    <cellStyle name="Обычный 6 2 3 5 3 2 5 2 2" xfId="4900"/>
    <cellStyle name="Обычный 6 2 3 5 3 2 5 2 2 2" xfId="10018"/>
    <cellStyle name="Обычный 6 2 3 5 3 2 5 2 2 2 2" xfId="13322"/>
    <cellStyle name="Обычный 6 2 3 5 3 2 5 2 2 3" xfId="13323"/>
    <cellStyle name="Обычный 6 2 3 5 3 2 5 2 3" xfId="7962"/>
    <cellStyle name="Обычный 6 2 3 5 3 2 5 2 3 2" xfId="13324"/>
    <cellStyle name="Обычный 6 2 3 5 3 2 5 2 4" xfId="13325"/>
    <cellStyle name="Обычный 6 2 3 5 3 2 5 3" xfId="3872"/>
    <cellStyle name="Обычный 6 2 3 5 3 2 5 3 2" xfId="8990"/>
    <cellStyle name="Обычный 6 2 3 5 3 2 5 3 2 2" xfId="13326"/>
    <cellStyle name="Обычный 6 2 3 5 3 2 5 3 3" xfId="13327"/>
    <cellStyle name="Обычный 6 2 3 5 3 2 5 4" xfId="6934"/>
    <cellStyle name="Обычный 6 2 3 5 3 2 5 4 2" xfId="13328"/>
    <cellStyle name="Обычный 6 2 3 5 3 2 5 5" xfId="13329"/>
    <cellStyle name="Обычный 6 2 3 5 3 2 6" xfId="1427"/>
    <cellStyle name="Обычный 6 2 3 5 3 2 6 2" xfId="2533"/>
    <cellStyle name="Обычный 6 2 3 5 3 2 6 2 2" xfId="5071"/>
    <cellStyle name="Обычный 6 2 3 5 3 2 6 2 2 2" xfId="10189"/>
    <cellStyle name="Обычный 6 2 3 5 3 2 6 2 2 2 2" xfId="13330"/>
    <cellStyle name="Обычный 6 2 3 5 3 2 6 2 2 3" xfId="13331"/>
    <cellStyle name="Обычный 6 2 3 5 3 2 6 2 3" xfId="8133"/>
    <cellStyle name="Обычный 6 2 3 5 3 2 6 2 3 2" xfId="13332"/>
    <cellStyle name="Обычный 6 2 3 5 3 2 6 2 4" xfId="13333"/>
    <cellStyle name="Обычный 6 2 3 5 3 2 6 3" xfId="4043"/>
    <cellStyle name="Обычный 6 2 3 5 3 2 6 3 2" xfId="9161"/>
    <cellStyle name="Обычный 6 2 3 5 3 2 6 3 2 2" xfId="13334"/>
    <cellStyle name="Обычный 6 2 3 5 3 2 6 3 3" xfId="13335"/>
    <cellStyle name="Обычный 6 2 3 5 3 2 6 4" xfId="7105"/>
    <cellStyle name="Обычный 6 2 3 5 3 2 6 4 2" xfId="13336"/>
    <cellStyle name="Обычный 6 2 3 5 3 2 6 5" xfId="13337"/>
    <cellStyle name="Обычный 6 2 3 5 3 2 7" xfId="1598"/>
    <cellStyle name="Обычный 6 2 3 5 3 2 7 2" xfId="2704"/>
    <cellStyle name="Обычный 6 2 3 5 3 2 7 2 2" xfId="5242"/>
    <cellStyle name="Обычный 6 2 3 5 3 2 7 2 2 2" xfId="10360"/>
    <cellStyle name="Обычный 6 2 3 5 3 2 7 2 2 2 2" xfId="13338"/>
    <cellStyle name="Обычный 6 2 3 5 3 2 7 2 2 3" xfId="13339"/>
    <cellStyle name="Обычный 6 2 3 5 3 2 7 2 3" xfId="8304"/>
    <cellStyle name="Обычный 6 2 3 5 3 2 7 2 3 2" xfId="13340"/>
    <cellStyle name="Обычный 6 2 3 5 3 2 7 2 4" xfId="13341"/>
    <cellStyle name="Обычный 6 2 3 5 3 2 7 3" xfId="4214"/>
    <cellStyle name="Обычный 6 2 3 5 3 2 7 3 2" xfId="9332"/>
    <cellStyle name="Обычный 6 2 3 5 3 2 7 3 2 2" xfId="13342"/>
    <cellStyle name="Обычный 6 2 3 5 3 2 7 3 3" xfId="13343"/>
    <cellStyle name="Обычный 6 2 3 5 3 2 7 4" xfId="7276"/>
    <cellStyle name="Обычный 6 2 3 5 3 2 7 4 2" xfId="13344"/>
    <cellStyle name="Обычный 6 2 3 5 3 2 7 5" xfId="13345"/>
    <cellStyle name="Обычный 6 2 3 5 3 2 8" xfId="3016"/>
    <cellStyle name="Обычный 6 2 3 5 4" xfId="288"/>
    <cellStyle name="Обычный 6 2 3 5 4 2" xfId="715"/>
    <cellStyle name="Обычный 6 2 3 5 4 2 2" xfId="1843"/>
    <cellStyle name="Обычный 6 2 3 5 4 2 2 2" xfId="4386"/>
    <cellStyle name="Обычный 6 2 3 5 4 2 2 2 2" xfId="9504"/>
    <cellStyle name="Обычный 6 2 3 5 4 2 2 2 2 2" xfId="13346"/>
    <cellStyle name="Обычный 6 2 3 5 4 2 2 2 3" xfId="13347"/>
    <cellStyle name="Обычный 6 2 3 5 4 2 2 3" xfId="7448"/>
    <cellStyle name="Обычный 6 2 3 5 4 2 2 3 2" xfId="13348"/>
    <cellStyle name="Обычный 6 2 3 5 4 2 2 4" xfId="13349"/>
    <cellStyle name="Обычный 6 2 3 5 4 2 3" xfId="3358"/>
    <cellStyle name="Обычный 6 2 3 5 4 2 3 2" xfId="8476"/>
    <cellStyle name="Обычный 6 2 3 5 4 2 3 2 2" xfId="13350"/>
    <cellStyle name="Обычный 6 2 3 5 4 2 3 3" xfId="13351"/>
    <cellStyle name="Обычный 6 2 3 5 4 2 4" xfId="6420"/>
    <cellStyle name="Обычный 6 2 3 5 4 2 4 2" xfId="13352"/>
    <cellStyle name="Обычный 6 2 3 5 4 2 5" xfId="13353"/>
    <cellStyle name="Обычный 6 2 3 5 4 3" xfId="902"/>
    <cellStyle name="Обычный 6 2 3 5 4 3 2" xfId="2021"/>
    <cellStyle name="Обычный 6 2 3 5 4 3 2 2" xfId="4559"/>
    <cellStyle name="Обычный 6 2 3 5 4 3 2 2 2" xfId="9677"/>
    <cellStyle name="Обычный 6 2 3 5 4 3 2 2 2 2" xfId="13354"/>
    <cellStyle name="Обычный 6 2 3 5 4 3 2 2 3" xfId="13355"/>
    <cellStyle name="Обычный 6 2 3 5 4 3 2 3" xfId="7621"/>
    <cellStyle name="Обычный 6 2 3 5 4 3 2 3 2" xfId="13356"/>
    <cellStyle name="Обычный 6 2 3 5 4 3 2 4" xfId="13357"/>
    <cellStyle name="Обычный 6 2 3 5 4 3 3" xfId="3531"/>
    <cellStyle name="Обычный 6 2 3 5 4 3 3 2" xfId="8649"/>
    <cellStyle name="Обычный 6 2 3 5 4 3 3 2 2" xfId="13358"/>
    <cellStyle name="Обычный 6 2 3 5 4 3 3 3" xfId="13359"/>
    <cellStyle name="Обычный 6 2 3 5 4 3 4" xfId="6593"/>
    <cellStyle name="Обычный 6 2 3 5 4 3 4 2" xfId="13360"/>
    <cellStyle name="Обычный 6 2 3 5 4 3 5" xfId="13361"/>
    <cellStyle name="Обычный 6 2 3 5 4 4" xfId="1073"/>
    <cellStyle name="Обычный 6 2 3 5 4 4 2" xfId="2192"/>
    <cellStyle name="Обычный 6 2 3 5 4 4 2 2" xfId="4730"/>
    <cellStyle name="Обычный 6 2 3 5 4 4 2 2 2" xfId="9848"/>
    <cellStyle name="Обычный 6 2 3 5 4 4 2 2 2 2" xfId="13362"/>
    <cellStyle name="Обычный 6 2 3 5 4 4 2 2 3" xfId="13363"/>
    <cellStyle name="Обычный 6 2 3 5 4 4 2 3" xfId="7792"/>
    <cellStyle name="Обычный 6 2 3 5 4 4 2 3 2" xfId="13364"/>
    <cellStyle name="Обычный 6 2 3 5 4 4 2 4" xfId="13365"/>
    <cellStyle name="Обычный 6 2 3 5 4 4 3" xfId="3702"/>
    <cellStyle name="Обычный 6 2 3 5 4 4 3 2" xfId="8820"/>
    <cellStyle name="Обычный 6 2 3 5 4 4 3 2 2" xfId="13366"/>
    <cellStyle name="Обычный 6 2 3 5 4 4 3 3" xfId="13367"/>
    <cellStyle name="Обычный 6 2 3 5 4 4 4" xfId="6764"/>
    <cellStyle name="Обычный 6 2 3 5 4 4 4 2" xfId="13368"/>
    <cellStyle name="Обычный 6 2 3 5 4 4 5" xfId="13369"/>
    <cellStyle name="Обычный 6 2 3 5 4 5" xfId="1254"/>
    <cellStyle name="Обычный 6 2 3 5 4 5 2" xfId="2363"/>
    <cellStyle name="Обычный 6 2 3 5 4 5 2 2" xfId="4901"/>
    <cellStyle name="Обычный 6 2 3 5 4 5 2 2 2" xfId="10019"/>
    <cellStyle name="Обычный 6 2 3 5 4 5 2 2 2 2" xfId="13370"/>
    <cellStyle name="Обычный 6 2 3 5 4 5 2 2 3" xfId="13371"/>
    <cellStyle name="Обычный 6 2 3 5 4 5 2 3" xfId="7963"/>
    <cellStyle name="Обычный 6 2 3 5 4 5 2 3 2" xfId="13372"/>
    <cellStyle name="Обычный 6 2 3 5 4 5 2 4" xfId="13373"/>
    <cellStyle name="Обычный 6 2 3 5 4 5 3" xfId="3873"/>
    <cellStyle name="Обычный 6 2 3 5 4 5 3 2" xfId="8991"/>
    <cellStyle name="Обычный 6 2 3 5 4 5 3 2 2" xfId="13374"/>
    <cellStyle name="Обычный 6 2 3 5 4 5 3 3" xfId="13375"/>
    <cellStyle name="Обычный 6 2 3 5 4 5 4" xfId="6935"/>
    <cellStyle name="Обычный 6 2 3 5 4 5 4 2" xfId="13376"/>
    <cellStyle name="Обычный 6 2 3 5 4 5 5" xfId="13377"/>
    <cellStyle name="Обычный 6 2 3 5 4 6" xfId="1428"/>
    <cellStyle name="Обычный 6 2 3 5 4 6 2" xfId="2534"/>
    <cellStyle name="Обычный 6 2 3 5 4 6 2 2" xfId="5072"/>
    <cellStyle name="Обычный 6 2 3 5 4 6 2 2 2" xfId="10190"/>
    <cellStyle name="Обычный 6 2 3 5 4 6 2 2 2 2" xfId="13378"/>
    <cellStyle name="Обычный 6 2 3 5 4 6 2 2 3" xfId="13379"/>
    <cellStyle name="Обычный 6 2 3 5 4 6 2 3" xfId="8134"/>
    <cellStyle name="Обычный 6 2 3 5 4 6 2 3 2" xfId="13380"/>
    <cellStyle name="Обычный 6 2 3 5 4 6 2 4" xfId="13381"/>
    <cellStyle name="Обычный 6 2 3 5 4 6 3" xfId="4044"/>
    <cellStyle name="Обычный 6 2 3 5 4 6 3 2" xfId="9162"/>
    <cellStyle name="Обычный 6 2 3 5 4 6 3 2 2" xfId="13382"/>
    <cellStyle name="Обычный 6 2 3 5 4 6 3 3" xfId="13383"/>
    <cellStyle name="Обычный 6 2 3 5 4 6 4" xfId="7106"/>
    <cellStyle name="Обычный 6 2 3 5 4 6 4 2" xfId="13384"/>
    <cellStyle name="Обычный 6 2 3 5 4 6 5" xfId="13385"/>
    <cellStyle name="Обычный 6 2 3 5 4 7" xfId="1599"/>
    <cellStyle name="Обычный 6 2 3 5 4 7 2" xfId="2705"/>
    <cellStyle name="Обычный 6 2 3 5 4 7 2 2" xfId="5243"/>
    <cellStyle name="Обычный 6 2 3 5 4 7 2 2 2" xfId="10361"/>
    <cellStyle name="Обычный 6 2 3 5 4 7 2 2 2 2" xfId="13386"/>
    <cellStyle name="Обычный 6 2 3 5 4 7 2 2 3" xfId="13387"/>
    <cellStyle name="Обычный 6 2 3 5 4 7 2 3" xfId="8305"/>
    <cellStyle name="Обычный 6 2 3 5 4 7 2 3 2" xfId="13388"/>
    <cellStyle name="Обычный 6 2 3 5 4 7 2 4" xfId="13389"/>
    <cellStyle name="Обычный 6 2 3 5 4 7 3" xfId="4215"/>
    <cellStyle name="Обычный 6 2 3 5 4 7 3 2" xfId="9333"/>
    <cellStyle name="Обычный 6 2 3 5 4 7 3 2 2" xfId="13390"/>
    <cellStyle name="Обычный 6 2 3 5 4 7 3 3" xfId="13391"/>
    <cellStyle name="Обычный 6 2 3 5 4 7 4" xfId="7277"/>
    <cellStyle name="Обычный 6 2 3 5 4 7 4 2" xfId="13392"/>
    <cellStyle name="Обычный 6 2 3 5 4 7 5" xfId="13393"/>
    <cellStyle name="Обычный 6 2 3 5 4 8" xfId="3017"/>
    <cellStyle name="Обычный 6 2 3 6" xfId="289"/>
    <cellStyle name="Обычный 6 2 3 6 2" xfId="290"/>
    <cellStyle name="Обычный 6 2 3 6 2 2" xfId="716"/>
    <cellStyle name="Обычный 6 2 3 6 2 2 2" xfId="1844"/>
    <cellStyle name="Обычный 6 2 3 6 2 2 2 2" xfId="4387"/>
    <cellStyle name="Обычный 6 2 3 6 2 2 2 2 2" xfId="9505"/>
    <cellStyle name="Обычный 6 2 3 6 2 2 2 2 2 2" xfId="13394"/>
    <cellStyle name="Обычный 6 2 3 6 2 2 2 2 3" xfId="13395"/>
    <cellStyle name="Обычный 6 2 3 6 2 2 2 3" xfId="7449"/>
    <cellStyle name="Обычный 6 2 3 6 2 2 2 3 2" xfId="13396"/>
    <cellStyle name="Обычный 6 2 3 6 2 2 2 4" xfId="13397"/>
    <cellStyle name="Обычный 6 2 3 6 2 2 3" xfId="3359"/>
    <cellStyle name="Обычный 6 2 3 6 2 2 3 2" xfId="8477"/>
    <cellStyle name="Обычный 6 2 3 6 2 2 3 2 2" xfId="13398"/>
    <cellStyle name="Обычный 6 2 3 6 2 2 3 3" xfId="13399"/>
    <cellStyle name="Обычный 6 2 3 6 2 2 4" xfId="6421"/>
    <cellStyle name="Обычный 6 2 3 6 2 2 4 2" xfId="13400"/>
    <cellStyle name="Обычный 6 2 3 6 2 2 5" xfId="13401"/>
    <cellStyle name="Обычный 6 2 3 6 2 3" xfId="903"/>
    <cellStyle name="Обычный 6 2 3 6 2 3 2" xfId="2022"/>
    <cellStyle name="Обычный 6 2 3 6 2 3 2 2" xfId="4560"/>
    <cellStyle name="Обычный 6 2 3 6 2 3 2 2 2" xfId="9678"/>
    <cellStyle name="Обычный 6 2 3 6 2 3 2 2 2 2" xfId="13402"/>
    <cellStyle name="Обычный 6 2 3 6 2 3 2 2 3" xfId="13403"/>
    <cellStyle name="Обычный 6 2 3 6 2 3 2 3" xfId="7622"/>
    <cellStyle name="Обычный 6 2 3 6 2 3 2 3 2" xfId="13404"/>
    <cellStyle name="Обычный 6 2 3 6 2 3 2 4" xfId="13405"/>
    <cellStyle name="Обычный 6 2 3 6 2 3 3" xfId="3532"/>
    <cellStyle name="Обычный 6 2 3 6 2 3 3 2" xfId="8650"/>
    <cellStyle name="Обычный 6 2 3 6 2 3 3 2 2" xfId="13406"/>
    <cellStyle name="Обычный 6 2 3 6 2 3 3 3" xfId="13407"/>
    <cellStyle name="Обычный 6 2 3 6 2 3 4" xfId="6594"/>
    <cellStyle name="Обычный 6 2 3 6 2 3 4 2" xfId="13408"/>
    <cellStyle name="Обычный 6 2 3 6 2 3 5" xfId="13409"/>
    <cellStyle name="Обычный 6 2 3 6 2 4" xfId="1074"/>
    <cellStyle name="Обычный 6 2 3 6 2 4 2" xfId="2193"/>
    <cellStyle name="Обычный 6 2 3 6 2 4 2 2" xfId="4731"/>
    <cellStyle name="Обычный 6 2 3 6 2 4 2 2 2" xfId="9849"/>
    <cellStyle name="Обычный 6 2 3 6 2 4 2 2 2 2" xfId="13410"/>
    <cellStyle name="Обычный 6 2 3 6 2 4 2 2 3" xfId="13411"/>
    <cellStyle name="Обычный 6 2 3 6 2 4 2 3" xfId="7793"/>
    <cellStyle name="Обычный 6 2 3 6 2 4 2 3 2" xfId="13412"/>
    <cellStyle name="Обычный 6 2 3 6 2 4 2 4" xfId="13413"/>
    <cellStyle name="Обычный 6 2 3 6 2 4 3" xfId="3703"/>
    <cellStyle name="Обычный 6 2 3 6 2 4 3 2" xfId="8821"/>
    <cellStyle name="Обычный 6 2 3 6 2 4 3 2 2" xfId="13414"/>
    <cellStyle name="Обычный 6 2 3 6 2 4 3 3" xfId="13415"/>
    <cellStyle name="Обычный 6 2 3 6 2 4 4" xfId="6765"/>
    <cellStyle name="Обычный 6 2 3 6 2 4 4 2" xfId="13416"/>
    <cellStyle name="Обычный 6 2 3 6 2 4 5" xfId="13417"/>
    <cellStyle name="Обычный 6 2 3 6 2 5" xfId="1255"/>
    <cellStyle name="Обычный 6 2 3 6 2 5 2" xfId="2364"/>
    <cellStyle name="Обычный 6 2 3 6 2 5 2 2" xfId="4902"/>
    <cellStyle name="Обычный 6 2 3 6 2 5 2 2 2" xfId="10020"/>
    <cellStyle name="Обычный 6 2 3 6 2 5 2 2 2 2" xfId="13418"/>
    <cellStyle name="Обычный 6 2 3 6 2 5 2 2 3" xfId="13419"/>
    <cellStyle name="Обычный 6 2 3 6 2 5 2 3" xfId="7964"/>
    <cellStyle name="Обычный 6 2 3 6 2 5 2 3 2" xfId="13420"/>
    <cellStyle name="Обычный 6 2 3 6 2 5 2 4" xfId="13421"/>
    <cellStyle name="Обычный 6 2 3 6 2 5 3" xfId="3874"/>
    <cellStyle name="Обычный 6 2 3 6 2 5 3 2" xfId="8992"/>
    <cellStyle name="Обычный 6 2 3 6 2 5 3 2 2" xfId="13422"/>
    <cellStyle name="Обычный 6 2 3 6 2 5 3 3" xfId="13423"/>
    <cellStyle name="Обычный 6 2 3 6 2 5 4" xfId="6936"/>
    <cellStyle name="Обычный 6 2 3 6 2 5 4 2" xfId="13424"/>
    <cellStyle name="Обычный 6 2 3 6 2 5 5" xfId="13425"/>
    <cellStyle name="Обычный 6 2 3 6 2 6" xfId="1429"/>
    <cellStyle name="Обычный 6 2 3 6 2 6 2" xfId="2535"/>
    <cellStyle name="Обычный 6 2 3 6 2 6 2 2" xfId="5073"/>
    <cellStyle name="Обычный 6 2 3 6 2 6 2 2 2" xfId="10191"/>
    <cellStyle name="Обычный 6 2 3 6 2 6 2 2 2 2" xfId="13426"/>
    <cellStyle name="Обычный 6 2 3 6 2 6 2 2 3" xfId="13427"/>
    <cellStyle name="Обычный 6 2 3 6 2 6 2 3" xfId="8135"/>
    <cellStyle name="Обычный 6 2 3 6 2 6 2 3 2" xfId="13428"/>
    <cellStyle name="Обычный 6 2 3 6 2 6 2 4" xfId="13429"/>
    <cellStyle name="Обычный 6 2 3 6 2 6 3" xfId="4045"/>
    <cellStyle name="Обычный 6 2 3 6 2 6 3 2" xfId="9163"/>
    <cellStyle name="Обычный 6 2 3 6 2 6 3 2 2" xfId="13430"/>
    <cellStyle name="Обычный 6 2 3 6 2 6 3 3" xfId="13431"/>
    <cellStyle name="Обычный 6 2 3 6 2 6 4" xfId="7107"/>
    <cellStyle name="Обычный 6 2 3 6 2 6 4 2" xfId="13432"/>
    <cellStyle name="Обычный 6 2 3 6 2 6 5" xfId="13433"/>
    <cellStyle name="Обычный 6 2 3 6 2 7" xfId="1600"/>
    <cellStyle name="Обычный 6 2 3 6 2 7 2" xfId="2706"/>
    <cellStyle name="Обычный 6 2 3 6 2 7 2 2" xfId="5244"/>
    <cellStyle name="Обычный 6 2 3 6 2 7 2 2 2" xfId="10362"/>
    <cellStyle name="Обычный 6 2 3 6 2 7 2 2 2 2" xfId="13434"/>
    <cellStyle name="Обычный 6 2 3 6 2 7 2 2 3" xfId="13435"/>
    <cellStyle name="Обычный 6 2 3 6 2 7 2 3" xfId="8306"/>
    <cellStyle name="Обычный 6 2 3 6 2 7 2 3 2" xfId="13436"/>
    <cellStyle name="Обычный 6 2 3 6 2 7 2 4" xfId="13437"/>
    <cellStyle name="Обычный 6 2 3 6 2 7 3" xfId="4216"/>
    <cellStyle name="Обычный 6 2 3 6 2 7 3 2" xfId="9334"/>
    <cellStyle name="Обычный 6 2 3 6 2 7 3 2 2" xfId="13438"/>
    <cellStyle name="Обычный 6 2 3 6 2 7 3 3" xfId="13439"/>
    <cellStyle name="Обычный 6 2 3 6 2 7 4" xfId="7278"/>
    <cellStyle name="Обычный 6 2 3 6 2 7 4 2" xfId="13440"/>
    <cellStyle name="Обычный 6 2 3 6 2 7 5" xfId="13441"/>
    <cellStyle name="Обычный 6 2 3 6 2 8" xfId="3018"/>
    <cellStyle name="Обычный 6 2 3 7" xfId="291"/>
    <cellStyle name="Обычный 6 2 3 7 2" xfId="292"/>
    <cellStyle name="Обычный 6 2 3 7 2 2" xfId="717"/>
    <cellStyle name="Обычный 6 2 3 7 2 2 2" xfId="1845"/>
    <cellStyle name="Обычный 6 2 3 7 2 2 2 2" xfId="4388"/>
    <cellStyle name="Обычный 6 2 3 7 2 2 2 2 2" xfId="9506"/>
    <cellStyle name="Обычный 6 2 3 7 2 2 2 2 2 2" xfId="13442"/>
    <cellStyle name="Обычный 6 2 3 7 2 2 2 2 3" xfId="13443"/>
    <cellStyle name="Обычный 6 2 3 7 2 2 2 3" xfId="7450"/>
    <cellStyle name="Обычный 6 2 3 7 2 2 2 3 2" xfId="13444"/>
    <cellStyle name="Обычный 6 2 3 7 2 2 2 4" xfId="13445"/>
    <cellStyle name="Обычный 6 2 3 7 2 2 3" xfId="3360"/>
    <cellStyle name="Обычный 6 2 3 7 2 2 3 2" xfId="8478"/>
    <cellStyle name="Обычный 6 2 3 7 2 2 3 2 2" xfId="13446"/>
    <cellStyle name="Обычный 6 2 3 7 2 2 3 3" xfId="13447"/>
    <cellStyle name="Обычный 6 2 3 7 2 2 4" xfId="6422"/>
    <cellStyle name="Обычный 6 2 3 7 2 2 4 2" xfId="13448"/>
    <cellStyle name="Обычный 6 2 3 7 2 2 5" xfId="13449"/>
    <cellStyle name="Обычный 6 2 3 7 2 3" xfId="904"/>
    <cellStyle name="Обычный 6 2 3 7 2 3 2" xfId="2023"/>
    <cellStyle name="Обычный 6 2 3 7 2 3 2 2" xfId="4561"/>
    <cellStyle name="Обычный 6 2 3 7 2 3 2 2 2" xfId="9679"/>
    <cellStyle name="Обычный 6 2 3 7 2 3 2 2 2 2" xfId="13450"/>
    <cellStyle name="Обычный 6 2 3 7 2 3 2 2 3" xfId="13451"/>
    <cellStyle name="Обычный 6 2 3 7 2 3 2 3" xfId="7623"/>
    <cellStyle name="Обычный 6 2 3 7 2 3 2 3 2" xfId="13452"/>
    <cellStyle name="Обычный 6 2 3 7 2 3 2 4" xfId="13453"/>
    <cellStyle name="Обычный 6 2 3 7 2 3 3" xfId="3533"/>
    <cellStyle name="Обычный 6 2 3 7 2 3 3 2" xfId="8651"/>
    <cellStyle name="Обычный 6 2 3 7 2 3 3 2 2" xfId="13454"/>
    <cellStyle name="Обычный 6 2 3 7 2 3 3 3" xfId="13455"/>
    <cellStyle name="Обычный 6 2 3 7 2 3 4" xfId="6595"/>
    <cellStyle name="Обычный 6 2 3 7 2 3 4 2" xfId="13456"/>
    <cellStyle name="Обычный 6 2 3 7 2 3 5" xfId="13457"/>
    <cellStyle name="Обычный 6 2 3 7 2 4" xfId="1075"/>
    <cellStyle name="Обычный 6 2 3 7 2 4 2" xfId="2194"/>
    <cellStyle name="Обычный 6 2 3 7 2 4 2 2" xfId="4732"/>
    <cellStyle name="Обычный 6 2 3 7 2 4 2 2 2" xfId="9850"/>
    <cellStyle name="Обычный 6 2 3 7 2 4 2 2 2 2" xfId="13458"/>
    <cellStyle name="Обычный 6 2 3 7 2 4 2 2 3" xfId="13459"/>
    <cellStyle name="Обычный 6 2 3 7 2 4 2 3" xfId="7794"/>
    <cellStyle name="Обычный 6 2 3 7 2 4 2 3 2" xfId="13460"/>
    <cellStyle name="Обычный 6 2 3 7 2 4 2 4" xfId="13461"/>
    <cellStyle name="Обычный 6 2 3 7 2 4 3" xfId="3704"/>
    <cellStyle name="Обычный 6 2 3 7 2 4 3 2" xfId="8822"/>
    <cellStyle name="Обычный 6 2 3 7 2 4 3 2 2" xfId="13462"/>
    <cellStyle name="Обычный 6 2 3 7 2 4 3 3" xfId="13463"/>
    <cellStyle name="Обычный 6 2 3 7 2 4 4" xfId="6766"/>
    <cellStyle name="Обычный 6 2 3 7 2 4 4 2" xfId="13464"/>
    <cellStyle name="Обычный 6 2 3 7 2 4 5" xfId="13465"/>
    <cellStyle name="Обычный 6 2 3 7 2 5" xfId="1256"/>
    <cellStyle name="Обычный 6 2 3 7 2 5 2" xfId="2365"/>
    <cellStyle name="Обычный 6 2 3 7 2 5 2 2" xfId="4903"/>
    <cellStyle name="Обычный 6 2 3 7 2 5 2 2 2" xfId="10021"/>
    <cellStyle name="Обычный 6 2 3 7 2 5 2 2 2 2" xfId="13466"/>
    <cellStyle name="Обычный 6 2 3 7 2 5 2 2 3" xfId="13467"/>
    <cellStyle name="Обычный 6 2 3 7 2 5 2 3" xfId="7965"/>
    <cellStyle name="Обычный 6 2 3 7 2 5 2 3 2" xfId="13468"/>
    <cellStyle name="Обычный 6 2 3 7 2 5 2 4" xfId="13469"/>
    <cellStyle name="Обычный 6 2 3 7 2 5 3" xfId="3875"/>
    <cellStyle name="Обычный 6 2 3 7 2 5 3 2" xfId="8993"/>
    <cellStyle name="Обычный 6 2 3 7 2 5 3 2 2" xfId="13470"/>
    <cellStyle name="Обычный 6 2 3 7 2 5 3 3" xfId="13471"/>
    <cellStyle name="Обычный 6 2 3 7 2 5 4" xfId="6937"/>
    <cellStyle name="Обычный 6 2 3 7 2 5 4 2" xfId="13472"/>
    <cellStyle name="Обычный 6 2 3 7 2 5 5" xfId="13473"/>
    <cellStyle name="Обычный 6 2 3 7 2 6" xfId="1430"/>
    <cellStyle name="Обычный 6 2 3 7 2 6 2" xfId="2536"/>
    <cellStyle name="Обычный 6 2 3 7 2 6 2 2" xfId="5074"/>
    <cellStyle name="Обычный 6 2 3 7 2 6 2 2 2" xfId="10192"/>
    <cellStyle name="Обычный 6 2 3 7 2 6 2 2 2 2" xfId="13474"/>
    <cellStyle name="Обычный 6 2 3 7 2 6 2 2 3" xfId="13475"/>
    <cellStyle name="Обычный 6 2 3 7 2 6 2 3" xfId="8136"/>
    <cellStyle name="Обычный 6 2 3 7 2 6 2 3 2" xfId="13476"/>
    <cellStyle name="Обычный 6 2 3 7 2 6 2 4" xfId="13477"/>
    <cellStyle name="Обычный 6 2 3 7 2 6 3" xfId="4046"/>
    <cellStyle name="Обычный 6 2 3 7 2 6 3 2" xfId="9164"/>
    <cellStyle name="Обычный 6 2 3 7 2 6 3 2 2" xfId="13478"/>
    <cellStyle name="Обычный 6 2 3 7 2 6 3 3" xfId="13479"/>
    <cellStyle name="Обычный 6 2 3 7 2 6 4" xfId="7108"/>
    <cellStyle name="Обычный 6 2 3 7 2 6 4 2" xfId="13480"/>
    <cellStyle name="Обычный 6 2 3 7 2 6 5" xfId="13481"/>
    <cellStyle name="Обычный 6 2 3 7 2 7" xfId="1601"/>
    <cellStyle name="Обычный 6 2 3 7 2 7 2" xfId="2707"/>
    <cellStyle name="Обычный 6 2 3 7 2 7 2 2" xfId="5245"/>
    <cellStyle name="Обычный 6 2 3 7 2 7 2 2 2" xfId="10363"/>
    <cellStyle name="Обычный 6 2 3 7 2 7 2 2 2 2" xfId="13482"/>
    <cellStyle name="Обычный 6 2 3 7 2 7 2 2 3" xfId="13483"/>
    <cellStyle name="Обычный 6 2 3 7 2 7 2 3" xfId="8307"/>
    <cellStyle name="Обычный 6 2 3 7 2 7 2 3 2" xfId="13484"/>
    <cellStyle name="Обычный 6 2 3 7 2 7 2 4" xfId="13485"/>
    <cellStyle name="Обычный 6 2 3 7 2 7 3" xfId="4217"/>
    <cellStyle name="Обычный 6 2 3 7 2 7 3 2" xfId="9335"/>
    <cellStyle name="Обычный 6 2 3 7 2 7 3 2 2" xfId="13486"/>
    <cellStyle name="Обычный 6 2 3 7 2 7 3 3" xfId="13487"/>
    <cellStyle name="Обычный 6 2 3 7 2 7 4" xfId="7279"/>
    <cellStyle name="Обычный 6 2 3 7 2 7 4 2" xfId="13488"/>
    <cellStyle name="Обычный 6 2 3 7 2 7 5" xfId="13489"/>
    <cellStyle name="Обычный 6 2 3 7 2 8" xfId="3019"/>
    <cellStyle name="Обычный 6 2 3 8" xfId="293"/>
    <cellStyle name="Обычный 6 2 3 8 2" xfId="294"/>
    <cellStyle name="Обычный 6 2 3 8 2 2" xfId="718"/>
    <cellStyle name="Обычный 6 2 3 8 2 2 2" xfId="1846"/>
    <cellStyle name="Обычный 6 2 3 8 2 2 2 2" xfId="4389"/>
    <cellStyle name="Обычный 6 2 3 8 2 2 2 2 2" xfId="9507"/>
    <cellStyle name="Обычный 6 2 3 8 2 2 2 2 2 2" xfId="13490"/>
    <cellStyle name="Обычный 6 2 3 8 2 2 2 2 3" xfId="13491"/>
    <cellStyle name="Обычный 6 2 3 8 2 2 2 3" xfId="7451"/>
    <cellStyle name="Обычный 6 2 3 8 2 2 2 3 2" xfId="13492"/>
    <cellStyle name="Обычный 6 2 3 8 2 2 2 4" xfId="13493"/>
    <cellStyle name="Обычный 6 2 3 8 2 2 3" xfId="3361"/>
    <cellStyle name="Обычный 6 2 3 8 2 2 3 2" xfId="8479"/>
    <cellStyle name="Обычный 6 2 3 8 2 2 3 2 2" xfId="13494"/>
    <cellStyle name="Обычный 6 2 3 8 2 2 3 3" xfId="13495"/>
    <cellStyle name="Обычный 6 2 3 8 2 2 4" xfId="6423"/>
    <cellStyle name="Обычный 6 2 3 8 2 2 4 2" xfId="13496"/>
    <cellStyle name="Обычный 6 2 3 8 2 2 5" xfId="13497"/>
    <cellStyle name="Обычный 6 2 3 8 2 3" xfId="905"/>
    <cellStyle name="Обычный 6 2 3 8 2 3 2" xfId="2024"/>
    <cellStyle name="Обычный 6 2 3 8 2 3 2 2" xfId="4562"/>
    <cellStyle name="Обычный 6 2 3 8 2 3 2 2 2" xfId="9680"/>
    <cellStyle name="Обычный 6 2 3 8 2 3 2 2 2 2" xfId="13498"/>
    <cellStyle name="Обычный 6 2 3 8 2 3 2 2 3" xfId="13499"/>
    <cellStyle name="Обычный 6 2 3 8 2 3 2 3" xfId="7624"/>
    <cellStyle name="Обычный 6 2 3 8 2 3 2 3 2" xfId="13500"/>
    <cellStyle name="Обычный 6 2 3 8 2 3 2 4" xfId="13501"/>
    <cellStyle name="Обычный 6 2 3 8 2 3 3" xfId="3534"/>
    <cellStyle name="Обычный 6 2 3 8 2 3 3 2" xfId="8652"/>
    <cellStyle name="Обычный 6 2 3 8 2 3 3 2 2" xfId="13502"/>
    <cellStyle name="Обычный 6 2 3 8 2 3 3 3" xfId="13503"/>
    <cellStyle name="Обычный 6 2 3 8 2 3 4" xfId="6596"/>
    <cellStyle name="Обычный 6 2 3 8 2 3 4 2" xfId="13504"/>
    <cellStyle name="Обычный 6 2 3 8 2 3 5" xfId="13505"/>
    <cellStyle name="Обычный 6 2 3 8 2 4" xfId="1076"/>
    <cellStyle name="Обычный 6 2 3 8 2 4 2" xfId="2195"/>
    <cellStyle name="Обычный 6 2 3 8 2 4 2 2" xfId="4733"/>
    <cellStyle name="Обычный 6 2 3 8 2 4 2 2 2" xfId="9851"/>
    <cellStyle name="Обычный 6 2 3 8 2 4 2 2 2 2" xfId="13506"/>
    <cellStyle name="Обычный 6 2 3 8 2 4 2 2 3" xfId="13507"/>
    <cellStyle name="Обычный 6 2 3 8 2 4 2 3" xfId="7795"/>
    <cellStyle name="Обычный 6 2 3 8 2 4 2 3 2" xfId="13508"/>
    <cellStyle name="Обычный 6 2 3 8 2 4 2 4" xfId="13509"/>
    <cellStyle name="Обычный 6 2 3 8 2 4 3" xfId="3705"/>
    <cellStyle name="Обычный 6 2 3 8 2 4 3 2" xfId="8823"/>
    <cellStyle name="Обычный 6 2 3 8 2 4 3 2 2" xfId="13510"/>
    <cellStyle name="Обычный 6 2 3 8 2 4 3 3" xfId="13511"/>
    <cellStyle name="Обычный 6 2 3 8 2 4 4" xfId="6767"/>
    <cellStyle name="Обычный 6 2 3 8 2 4 4 2" xfId="13512"/>
    <cellStyle name="Обычный 6 2 3 8 2 4 5" xfId="13513"/>
    <cellStyle name="Обычный 6 2 3 8 2 5" xfId="1257"/>
    <cellStyle name="Обычный 6 2 3 8 2 5 2" xfId="2366"/>
    <cellStyle name="Обычный 6 2 3 8 2 5 2 2" xfId="4904"/>
    <cellStyle name="Обычный 6 2 3 8 2 5 2 2 2" xfId="10022"/>
    <cellStyle name="Обычный 6 2 3 8 2 5 2 2 2 2" xfId="13514"/>
    <cellStyle name="Обычный 6 2 3 8 2 5 2 2 3" xfId="13515"/>
    <cellStyle name="Обычный 6 2 3 8 2 5 2 3" xfId="7966"/>
    <cellStyle name="Обычный 6 2 3 8 2 5 2 3 2" xfId="13516"/>
    <cellStyle name="Обычный 6 2 3 8 2 5 2 4" xfId="13517"/>
    <cellStyle name="Обычный 6 2 3 8 2 5 3" xfId="3876"/>
    <cellStyle name="Обычный 6 2 3 8 2 5 3 2" xfId="8994"/>
    <cellStyle name="Обычный 6 2 3 8 2 5 3 2 2" xfId="13518"/>
    <cellStyle name="Обычный 6 2 3 8 2 5 3 3" xfId="13519"/>
    <cellStyle name="Обычный 6 2 3 8 2 5 4" xfId="6938"/>
    <cellStyle name="Обычный 6 2 3 8 2 5 4 2" xfId="13520"/>
    <cellStyle name="Обычный 6 2 3 8 2 5 5" xfId="13521"/>
    <cellStyle name="Обычный 6 2 3 8 2 6" xfId="1431"/>
    <cellStyle name="Обычный 6 2 3 8 2 6 2" xfId="2537"/>
    <cellStyle name="Обычный 6 2 3 8 2 6 2 2" xfId="5075"/>
    <cellStyle name="Обычный 6 2 3 8 2 6 2 2 2" xfId="10193"/>
    <cellStyle name="Обычный 6 2 3 8 2 6 2 2 2 2" xfId="13522"/>
    <cellStyle name="Обычный 6 2 3 8 2 6 2 2 3" xfId="13523"/>
    <cellStyle name="Обычный 6 2 3 8 2 6 2 3" xfId="8137"/>
    <cellStyle name="Обычный 6 2 3 8 2 6 2 3 2" xfId="13524"/>
    <cellStyle name="Обычный 6 2 3 8 2 6 2 4" xfId="13525"/>
    <cellStyle name="Обычный 6 2 3 8 2 6 3" xfId="4047"/>
    <cellStyle name="Обычный 6 2 3 8 2 6 3 2" xfId="9165"/>
    <cellStyle name="Обычный 6 2 3 8 2 6 3 2 2" xfId="13526"/>
    <cellStyle name="Обычный 6 2 3 8 2 6 3 3" xfId="13527"/>
    <cellStyle name="Обычный 6 2 3 8 2 6 4" xfId="7109"/>
    <cellStyle name="Обычный 6 2 3 8 2 6 4 2" xfId="13528"/>
    <cellStyle name="Обычный 6 2 3 8 2 6 5" xfId="13529"/>
    <cellStyle name="Обычный 6 2 3 8 2 7" xfId="1602"/>
    <cellStyle name="Обычный 6 2 3 8 2 7 2" xfId="2708"/>
    <cellStyle name="Обычный 6 2 3 8 2 7 2 2" xfId="5246"/>
    <cellStyle name="Обычный 6 2 3 8 2 7 2 2 2" xfId="10364"/>
    <cellStyle name="Обычный 6 2 3 8 2 7 2 2 2 2" xfId="13530"/>
    <cellStyle name="Обычный 6 2 3 8 2 7 2 2 3" xfId="13531"/>
    <cellStyle name="Обычный 6 2 3 8 2 7 2 3" xfId="8308"/>
    <cellStyle name="Обычный 6 2 3 8 2 7 2 3 2" xfId="13532"/>
    <cellStyle name="Обычный 6 2 3 8 2 7 2 4" xfId="13533"/>
    <cellStyle name="Обычный 6 2 3 8 2 7 3" xfId="4218"/>
    <cellStyle name="Обычный 6 2 3 8 2 7 3 2" xfId="9336"/>
    <cellStyle name="Обычный 6 2 3 8 2 7 3 2 2" xfId="13534"/>
    <cellStyle name="Обычный 6 2 3 8 2 7 3 3" xfId="13535"/>
    <cellStyle name="Обычный 6 2 3 8 2 7 4" xfId="7280"/>
    <cellStyle name="Обычный 6 2 3 8 2 7 4 2" xfId="13536"/>
    <cellStyle name="Обычный 6 2 3 8 2 7 5" xfId="13537"/>
    <cellStyle name="Обычный 6 2 3 8 2 8" xfId="3020"/>
    <cellStyle name="Обычный 6 2 3 9" xfId="295"/>
    <cellStyle name="Обычный 6 2 3 9 2" xfId="719"/>
    <cellStyle name="Обычный 6 2 3 9 2 2" xfId="1847"/>
    <cellStyle name="Обычный 6 2 3 9 2 2 2" xfId="4390"/>
    <cellStyle name="Обычный 6 2 3 9 2 2 2 2" xfId="9508"/>
    <cellStyle name="Обычный 6 2 3 9 2 2 2 2 2" xfId="13538"/>
    <cellStyle name="Обычный 6 2 3 9 2 2 2 3" xfId="13539"/>
    <cellStyle name="Обычный 6 2 3 9 2 2 3" xfId="7452"/>
    <cellStyle name="Обычный 6 2 3 9 2 2 3 2" xfId="13540"/>
    <cellStyle name="Обычный 6 2 3 9 2 2 4" xfId="13541"/>
    <cellStyle name="Обычный 6 2 3 9 2 3" xfId="3362"/>
    <cellStyle name="Обычный 6 2 3 9 2 3 2" xfId="8480"/>
    <cellStyle name="Обычный 6 2 3 9 2 3 2 2" xfId="13542"/>
    <cellStyle name="Обычный 6 2 3 9 2 3 3" xfId="13543"/>
    <cellStyle name="Обычный 6 2 3 9 2 4" xfId="6424"/>
    <cellStyle name="Обычный 6 2 3 9 2 4 2" xfId="13544"/>
    <cellStyle name="Обычный 6 2 3 9 2 5" xfId="13545"/>
    <cellStyle name="Обычный 6 2 3 9 3" xfId="906"/>
    <cellStyle name="Обычный 6 2 3 9 3 2" xfId="2025"/>
    <cellStyle name="Обычный 6 2 3 9 3 2 2" xfId="4563"/>
    <cellStyle name="Обычный 6 2 3 9 3 2 2 2" xfId="9681"/>
    <cellStyle name="Обычный 6 2 3 9 3 2 2 2 2" xfId="13546"/>
    <cellStyle name="Обычный 6 2 3 9 3 2 2 3" xfId="13547"/>
    <cellStyle name="Обычный 6 2 3 9 3 2 3" xfId="7625"/>
    <cellStyle name="Обычный 6 2 3 9 3 2 3 2" xfId="13548"/>
    <cellStyle name="Обычный 6 2 3 9 3 2 4" xfId="13549"/>
    <cellStyle name="Обычный 6 2 3 9 3 3" xfId="3535"/>
    <cellStyle name="Обычный 6 2 3 9 3 3 2" xfId="8653"/>
    <cellStyle name="Обычный 6 2 3 9 3 3 2 2" xfId="13550"/>
    <cellStyle name="Обычный 6 2 3 9 3 3 3" xfId="13551"/>
    <cellStyle name="Обычный 6 2 3 9 3 4" xfId="6597"/>
    <cellStyle name="Обычный 6 2 3 9 3 4 2" xfId="13552"/>
    <cellStyle name="Обычный 6 2 3 9 3 5" xfId="13553"/>
    <cellStyle name="Обычный 6 2 3 9 4" xfId="1077"/>
    <cellStyle name="Обычный 6 2 3 9 4 2" xfId="2196"/>
    <cellStyle name="Обычный 6 2 3 9 4 2 2" xfId="4734"/>
    <cellStyle name="Обычный 6 2 3 9 4 2 2 2" xfId="9852"/>
    <cellStyle name="Обычный 6 2 3 9 4 2 2 2 2" xfId="13554"/>
    <cellStyle name="Обычный 6 2 3 9 4 2 2 3" xfId="13555"/>
    <cellStyle name="Обычный 6 2 3 9 4 2 3" xfId="7796"/>
    <cellStyle name="Обычный 6 2 3 9 4 2 3 2" xfId="13556"/>
    <cellStyle name="Обычный 6 2 3 9 4 2 4" xfId="13557"/>
    <cellStyle name="Обычный 6 2 3 9 4 3" xfId="3706"/>
    <cellStyle name="Обычный 6 2 3 9 4 3 2" xfId="8824"/>
    <cellStyle name="Обычный 6 2 3 9 4 3 2 2" xfId="13558"/>
    <cellStyle name="Обычный 6 2 3 9 4 3 3" xfId="13559"/>
    <cellStyle name="Обычный 6 2 3 9 4 4" xfId="6768"/>
    <cellStyle name="Обычный 6 2 3 9 4 4 2" xfId="13560"/>
    <cellStyle name="Обычный 6 2 3 9 4 5" xfId="13561"/>
    <cellStyle name="Обычный 6 2 3 9 5" xfId="1258"/>
    <cellStyle name="Обычный 6 2 3 9 5 2" xfId="2367"/>
    <cellStyle name="Обычный 6 2 3 9 5 2 2" xfId="4905"/>
    <cellStyle name="Обычный 6 2 3 9 5 2 2 2" xfId="10023"/>
    <cellStyle name="Обычный 6 2 3 9 5 2 2 2 2" xfId="13562"/>
    <cellStyle name="Обычный 6 2 3 9 5 2 2 3" xfId="13563"/>
    <cellStyle name="Обычный 6 2 3 9 5 2 3" xfId="7967"/>
    <cellStyle name="Обычный 6 2 3 9 5 2 3 2" xfId="13564"/>
    <cellStyle name="Обычный 6 2 3 9 5 2 4" xfId="13565"/>
    <cellStyle name="Обычный 6 2 3 9 5 3" xfId="3877"/>
    <cellStyle name="Обычный 6 2 3 9 5 3 2" xfId="8995"/>
    <cellStyle name="Обычный 6 2 3 9 5 3 2 2" xfId="13566"/>
    <cellStyle name="Обычный 6 2 3 9 5 3 3" xfId="13567"/>
    <cellStyle name="Обычный 6 2 3 9 5 4" xfId="6939"/>
    <cellStyle name="Обычный 6 2 3 9 5 4 2" xfId="13568"/>
    <cellStyle name="Обычный 6 2 3 9 5 5" xfId="13569"/>
    <cellStyle name="Обычный 6 2 3 9 6" xfId="1432"/>
    <cellStyle name="Обычный 6 2 3 9 6 2" xfId="2538"/>
    <cellStyle name="Обычный 6 2 3 9 6 2 2" xfId="5076"/>
    <cellStyle name="Обычный 6 2 3 9 6 2 2 2" xfId="10194"/>
    <cellStyle name="Обычный 6 2 3 9 6 2 2 2 2" xfId="13570"/>
    <cellStyle name="Обычный 6 2 3 9 6 2 2 3" xfId="13571"/>
    <cellStyle name="Обычный 6 2 3 9 6 2 3" xfId="8138"/>
    <cellStyle name="Обычный 6 2 3 9 6 2 3 2" xfId="13572"/>
    <cellStyle name="Обычный 6 2 3 9 6 2 4" xfId="13573"/>
    <cellStyle name="Обычный 6 2 3 9 6 3" xfId="4048"/>
    <cellStyle name="Обычный 6 2 3 9 6 3 2" xfId="9166"/>
    <cellStyle name="Обычный 6 2 3 9 6 3 2 2" xfId="13574"/>
    <cellStyle name="Обычный 6 2 3 9 6 3 3" xfId="13575"/>
    <cellStyle name="Обычный 6 2 3 9 6 4" xfId="7110"/>
    <cellStyle name="Обычный 6 2 3 9 6 4 2" xfId="13576"/>
    <cellStyle name="Обычный 6 2 3 9 6 5" xfId="13577"/>
    <cellStyle name="Обычный 6 2 3 9 7" xfId="1603"/>
    <cellStyle name="Обычный 6 2 3 9 7 2" xfId="2709"/>
    <cellStyle name="Обычный 6 2 3 9 7 2 2" xfId="5247"/>
    <cellStyle name="Обычный 6 2 3 9 7 2 2 2" xfId="10365"/>
    <cellStyle name="Обычный 6 2 3 9 7 2 2 2 2" xfId="13578"/>
    <cellStyle name="Обычный 6 2 3 9 7 2 2 3" xfId="13579"/>
    <cellStyle name="Обычный 6 2 3 9 7 2 3" xfId="8309"/>
    <cellStyle name="Обычный 6 2 3 9 7 2 3 2" xfId="13580"/>
    <cellStyle name="Обычный 6 2 3 9 7 2 4" xfId="13581"/>
    <cellStyle name="Обычный 6 2 3 9 7 3" xfId="4219"/>
    <cellStyle name="Обычный 6 2 3 9 7 3 2" xfId="9337"/>
    <cellStyle name="Обычный 6 2 3 9 7 3 2 2" xfId="13582"/>
    <cellStyle name="Обычный 6 2 3 9 7 3 3" xfId="13583"/>
    <cellStyle name="Обычный 6 2 3 9 7 4" xfId="7281"/>
    <cellStyle name="Обычный 6 2 3 9 7 4 2" xfId="13584"/>
    <cellStyle name="Обычный 6 2 3 9 7 5" xfId="13585"/>
    <cellStyle name="Обычный 6 2 3 9 8" xfId="3021"/>
    <cellStyle name="Обычный 6 2 4" xfId="296"/>
    <cellStyle name="Обычный 6 2 4 2" xfId="297"/>
    <cellStyle name="Обычный 6 2 4 2 2" xfId="298"/>
    <cellStyle name="Обычный 6 2 4 2 2 2" xfId="299"/>
    <cellStyle name="Обычный 6 2 4 2 2 2 2" xfId="720"/>
    <cellStyle name="Обычный 6 2 4 2 2 2 2 2" xfId="1848"/>
    <cellStyle name="Обычный 6 2 4 2 2 2 2 2 2" xfId="4391"/>
    <cellStyle name="Обычный 6 2 4 2 2 2 2 2 2 2" xfId="9509"/>
    <cellStyle name="Обычный 6 2 4 2 2 2 2 2 2 2 2" xfId="13586"/>
    <cellStyle name="Обычный 6 2 4 2 2 2 2 2 2 3" xfId="13587"/>
    <cellStyle name="Обычный 6 2 4 2 2 2 2 2 3" xfId="7453"/>
    <cellStyle name="Обычный 6 2 4 2 2 2 2 2 3 2" xfId="13588"/>
    <cellStyle name="Обычный 6 2 4 2 2 2 2 2 4" xfId="13589"/>
    <cellStyle name="Обычный 6 2 4 2 2 2 2 3" xfId="3363"/>
    <cellStyle name="Обычный 6 2 4 2 2 2 2 3 2" xfId="8481"/>
    <cellStyle name="Обычный 6 2 4 2 2 2 2 3 2 2" xfId="13590"/>
    <cellStyle name="Обычный 6 2 4 2 2 2 2 3 3" xfId="13591"/>
    <cellStyle name="Обычный 6 2 4 2 2 2 2 4" xfId="6425"/>
    <cellStyle name="Обычный 6 2 4 2 2 2 2 4 2" xfId="13592"/>
    <cellStyle name="Обычный 6 2 4 2 2 2 2 5" xfId="13593"/>
    <cellStyle name="Обычный 6 2 4 2 2 2 3" xfId="907"/>
    <cellStyle name="Обычный 6 2 4 2 2 2 3 2" xfId="2026"/>
    <cellStyle name="Обычный 6 2 4 2 2 2 3 2 2" xfId="4564"/>
    <cellStyle name="Обычный 6 2 4 2 2 2 3 2 2 2" xfId="9682"/>
    <cellStyle name="Обычный 6 2 4 2 2 2 3 2 2 2 2" xfId="13594"/>
    <cellStyle name="Обычный 6 2 4 2 2 2 3 2 2 3" xfId="13595"/>
    <cellStyle name="Обычный 6 2 4 2 2 2 3 2 3" xfId="7626"/>
    <cellStyle name="Обычный 6 2 4 2 2 2 3 2 3 2" xfId="13596"/>
    <cellStyle name="Обычный 6 2 4 2 2 2 3 2 4" xfId="13597"/>
    <cellStyle name="Обычный 6 2 4 2 2 2 3 3" xfId="3536"/>
    <cellStyle name="Обычный 6 2 4 2 2 2 3 3 2" xfId="8654"/>
    <cellStyle name="Обычный 6 2 4 2 2 2 3 3 2 2" xfId="13598"/>
    <cellStyle name="Обычный 6 2 4 2 2 2 3 3 3" xfId="13599"/>
    <cellStyle name="Обычный 6 2 4 2 2 2 3 4" xfId="6598"/>
    <cellStyle name="Обычный 6 2 4 2 2 2 3 4 2" xfId="13600"/>
    <cellStyle name="Обычный 6 2 4 2 2 2 3 5" xfId="13601"/>
    <cellStyle name="Обычный 6 2 4 2 2 2 4" xfId="1078"/>
    <cellStyle name="Обычный 6 2 4 2 2 2 4 2" xfId="2197"/>
    <cellStyle name="Обычный 6 2 4 2 2 2 4 2 2" xfId="4735"/>
    <cellStyle name="Обычный 6 2 4 2 2 2 4 2 2 2" xfId="9853"/>
    <cellStyle name="Обычный 6 2 4 2 2 2 4 2 2 2 2" xfId="13602"/>
    <cellStyle name="Обычный 6 2 4 2 2 2 4 2 2 3" xfId="13603"/>
    <cellStyle name="Обычный 6 2 4 2 2 2 4 2 3" xfId="7797"/>
    <cellStyle name="Обычный 6 2 4 2 2 2 4 2 3 2" xfId="13604"/>
    <cellStyle name="Обычный 6 2 4 2 2 2 4 2 4" xfId="13605"/>
    <cellStyle name="Обычный 6 2 4 2 2 2 4 3" xfId="3707"/>
    <cellStyle name="Обычный 6 2 4 2 2 2 4 3 2" xfId="8825"/>
    <cellStyle name="Обычный 6 2 4 2 2 2 4 3 2 2" xfId="13606"/>
    <cellStyle name="Обычный 6 2 4 2 2 2 4 3 3" xfId="13607"/>
    <cellStyle name="Обычный 6 2 4 2 2 2 4 4" xfId="6769"/>
    <cellStyle name="Обычный 6 2 4 2 2 2 4 4 2" xfId="13608"/>
    <cellStyle name="Обычный 6 2 4 2 2 2 4 5" xfId="13609"/>
    <cellStyle name="Обычный 6 2 4 2 2 2 5" xfId="1259"/>
    <cellStyle name="Обычный 6 2 4 2 2 2 5 2" xfId="2368"/>
    <cellStyle name="Обычный 6 2 4 2 2 2 5 2 2" xfId="4906"/>
    <cellStyle name="Обычный 6 2 4 2 2 2 5 2 2 2" xfId="10024"/>
    <cellStyle name="Обычный 6 2 4 2 2 2 5 2 2 2 2" xfId="13610"/>
    <cellStyle name="Обычный 6 2 4 2 2 2 5 2 2 3" xfId="13611"/>
    <cellStyle name="Обычный 6 2 4 2 2 2 5 2 3" xfId="7968"/>
    <cellStyle name="Обычный 6 2 4 2 2 2 5 2 3 2" xfId="13612"/>
    <cellStyle name="Обычный 6 2 4 2 2 2 5 2 4" xfId="13613"/>
    <cellStyle name="Обычный 6 2 4 2 2 2 5 3" xfId="3878"/>
    <cellStyle name="Обычный 6 2 4 2 2 2 5 3 2" xfId="8996"/>
    <cellStyle name="Обычный 6 2 4 2 2 2 5 3 2 2" xfId="13614"/>
    <cellStyle name="Обычный 6 2 4 2 2 2 5 3 3" xfId="13615"/>
    <cellStyle name="Обычный 6 2 4 2 2 2 5 4" xfId="6940"/>
    <cellStyle name="Обычный 6 2 4 2 2 2 5 4 2" xfId="13616"/>
    <cellStyle name="Обычный 6 2 4 2 2 2 5 5" xfId="13617"/>
    <cellStyle name="Обычный 6 2 4 2 2 2 6" xfId="1433"/>
    <cellStyle name="Обычный 6 2 4 2 2 2 6 2" xfId="2539"/>
    <cellStyle name="Обычный 6 2 4 2 2 2 6 2 2" xfId="5077"/>
    <cellStyle name="Обычный 6 2 4 2 2 2 6 2 2 2" xfId="10195"/>
    <cellStyle name="Обычный 6 2 4 2 2 2 6 2 2 2 2" xfId="13618"/>
    <cellStyle name="Обычный 6 2 4 2 2 2 6 2 2 3" xfId="13619"/>
    <cellStyle name="Обычный 6 2 4 2 2 2 6 2 3" xfId="8139"/>
    <cellStyle name="Обычный 6 2 4 2 2 2 6 2 3 2" xfId="13620"/>
    <cellStyle name="Обычный 6 2 4 2 2 2 6 2 4" xfId="13621"/>
    <cellStyle name="Обычный 6 2 4 2 2 2 6 3" xfId="4049"/>
    <cellStyle name="Обычный 6 2 4 2 2 2 6 3 2" xfId="9167"/>
    <cellStyle name="Обычный 6 2 4 2 2 2 6 3 2 2" xfId="13622"/>
    <cellStyle name="Обычный 6 2 4 2 2 2 6 3 3" xfId="13623"/>
    <cellStyle name="Обычный 6 2 4 2 2 2 6 4" xfId="7111"/>
    <cellStyle name="Обычный 6 2 4 2 2 2 6 4 2" xfId="13624"/>
    <cellStyle name="Обычный 6 2 4 2 2 2 6 5" xfId="13625"/>
    <cellStyle name="Обычный 6 2 4 2 2 2 7" xfId="1604"/>
    <cellStyle name="Обычный 6 2 4 2 2 2 7 2" xfId="2710"/>
    <cellStyle name="Обычный 6 2 4 2 2 2 7 2 2" xfId="5248"/>
    <cellStyle name="Обычный 6 2 4 2 2 2 7 2 2 2" xfId="10366"/>
    <cellStyle name="Обычный 6 2 4 2 2 2 7 2 2 2 2" xfId="13626"/>
    <cellStyle name="Обычный 6 2 4 2 2 2 7 2 2 3" xfId="13627"/>
    <cellStyle name="Обычный 6 2 4 2 2 2 7 2 3" xfId="8310"/>
    <cellStyle name="Обычный 6 2 4 2 2 2 7 2 3 2" xfId="13628"/>
    <cellStyle name="Обычный 6 2 4 2 2 2 7 2 4" xfId="13629"/>
    <cellStyle name="Обычный 6 2 4 2 2 2 7 3" xfId="4220"/>
    <cellStyle name="Обычный 6 2 4 2 2 2 7 3 2" xfId="9338"/>
    <cellStyle name="Обычный 6 2 4 2 2 2 7 3 2 2" xfId="13630"/>
    <cellStyle name="Обычный 6 2 4 2 2 2 7 3 3" xfId="13631"/>
    <cellStyle name="Обычный 6 2 4 2 2 2 7 4" xfId="7282"/>
    <cellStyle name="Обычный 6 2 4 2 2 2 7 4 2" xfId="13632"/>
    <cellStyle name="Обычный 6 2 4 2 2 2 7 5" xfId="13633"/>
    <cellStyle name="Обычный 6 2 4 2 2 2 8" xfId="3022"/>
    <cellStyle name="Обычный 6 2 4 2 3" xfId="300"/>
    <cellStyle name="Обычный 6 2 4 2 3 2" xfId="301"/>
    <cellStyle name="Обычный 6 2 4 2 3 2 2" xfId="721"/>
    <cellStyle name="Обычный 6 2 4 2 3 2 2 2" xfId="1849"/>
    <cellStyle name="Обычный 6 2 4 2 3 2 2 2 2" xfId="4392"/>
    <cellStyle name="Обычный 6 2 4 2 3 2 2 2 2 2" xfId="9510"/>
    <cellStyle name="Обычный 6 2 4 2 3 2 2 2 2 2 2" xfId="13634"/>
    <cellStyle name="Обычный 6 2 4 2 3 2 2 2 2 3" xfId="13635"/>
    <cellStyle name="Обычный 6 2 4 2 3 2 2 2 3" xfId="7454"/>
    <cellStyle name="Обычный 6 2 4 2 3 2 2 2 3 2" xfId="13636"/>
    <cellStyle name="Обычный 6 2 4 2 3 2 2 2 4" xfId="13637"/>
    <cellStyle name="Обычный 6 2 4 2 3 2 2 3" xfId="3364"/>
    <cellStyle name="Обычный 6 2 4 2 3 2 2 3 2" xfId="8482"/>
    <cellStyle name="Обычный 6 2 4 2 3 2 2 3 2 2" xfId="13638"/>
    <cellStyle name="Обычный 6 2 4 2 3 2 2 3 3" xfId="13639"/>
    <cellStyle name="Обычный 6 2 4 2 3 2 2 4" xfId="6426"/>
    <cellStyle name="Обычный 6 2 4 2 3 2 2 4 2" xfId="13640"/>
    <cellStyle name="Обычный 6 2 4 2 3 2 2 5" xfId="13641"/>
    <cellStyle name="Обычный 6 2 4 2 3 2 3" xfId="908"/>
    <cellStyle name="Обычный 6 2 4 2 3 2 3 2" xfId="2027"/>
    <cellStyle name="Обычный 6 2 4 2 3 2 3 2 2" xfId="4565"/>
    <cellStyle name="Обычный 6 2 4 2 3 2 3 2 2 2" xfId="9683"/>
    <cellStyle name="Обычный 6 2 4 2 3 2 3 2 2 2 2" xfId="13642"/>
    <cellStyle name="Обычный 6 2 4 2 3 2 3 2 2 3" xfId="13643"/>
    <cellStyle name="Обычный 6 2 4 2 3 2 3 2 3" xfId="7627"/>
    <cellStyle name="Обычный 6 2 4 2 3 2 3 2 3 2" xfId="13644"/>
    <cellStyle name="Обычный 6 2 4 2 3 2 3 2 4" xfId="13645"/>
    <cellStyle name="Обычный 6 2 4 2 3 2 3 3" xfId="3537"/>
    <cellStyle name="Обычный 6 2 4 2 3 2 3 3 2" xfId="8655"/>
    <cellStyle name="Обычный 6 2 4 2 3 2 3 3 2 2" xfId="13646"/>
    <cellStyle name="Обычный 6 2 4 2 3 2 3 3 3" xfId="13647"/>
    <cellStyle name="Обычный 6 2 4 2 3 2 3 4" xfId="6599"/>
    <cellStyle name="Обычный 6 2 4 2 3 2 3 4 2" xfId="13648"/>
    <cellStyle name="Обычный 6 2 4 2 3 2 3 5" xfId="13649"/>
    <cellStyle name="Обычный 6 2 4 2 3 2 4" xfId="1079"/>
    <cellStyle name="Обычный 6 2 4 2 3 2 4 2" xfId="2198"/>
    <cellStyle name="Обычный 6 2 4 2 3 2 4 2 2" xfId="4736"/>
    <cellStyle name="Обычный 6 2 4 2 3 2 4 2 2 2" xfId="9854"/>
    <cellStyle name="Обычный 6 2 4 2 3 2 4 2 2 2 2" xfId="13650"/>
    <cellStyle name="Обычный 6 2 4 2 3 2 4 2 2 3" xfId="13651"/>
    <cellStyle name="Обычный 6 2 4 2 3 2 4 2 3" xfId="7798"/>
    <cellStyle name="Обычный 6 2 4 2 3 2 4 2 3 2" xfId="13652"/>
    <cellStyle name="Обычный 6 2 4 2 3 2 4 2 4" xfId="13653"/>
    <cellStyle name="Обычный 6 2 4 2 3 2 4 3" xfId="3708"/>
    <cellStyle name="Обычный 6 2 4 2 3 2 4 3 2" xfId="8826"/>
    <cellStyle name="Обычный 6 2 4 2 3 2 4 3 2 2" xfId="13654"/>
    <cellStyle name="Обычный 6 2 4 2 3 2 4 3 3" xfId="13655"/>
    <cellStyle name="Обычный 6 2 4 2 3 2 4 4" xfId="6770"/>
    <cellStyle name="Обычный 6 2 4 2 3 2 4 4 2" xfId="13656"/>
    <cellStyle name="Обычный 6 2 4 2 3 2 4 5" xfId="13657"/>
    <cellStyle name="Обычный 6 2 4 2 3 2 5" xfId="1260"/>
    <cellStyle name="Обычный 6 2 4 2 3 2 5 2" xfId="2369"/>
    <cellStyle name="Обычный 6 2 4 2 3 2 5 2 2" xfId="4907"/>
    <cellStyle name="Обычный 6 2 4 2 3 2 5 2 2 2" xfId="10025"/>
    <cellStyle name="Обычный 6 2 4 2 3 2 5 2 2 2 2" xfId="13658"/>
    <cellStyle name="Обычный 6 2 4 2 3 2 5 2 2 3" xfId="13659"/>
    <cellStyle name="Обычный 6 2 4 2 3 2 5 2 3" xfId="7969"/>
    <cellStyle name="Обычный 6 2 4 2 3 2 5 2 3 2" xfId="13660"/>
    <cellStyle name="Обычный 6 2 4 2 3 2 5 2 4" xfId="13661"/>
    <cellStyle name="Обычный 6 2 4 2 3 2 5 3" xfId="3879"/>
    <cellStyle name="Обычный 6 2 4 2 3 2 5 3 2" xfId="8997"/>
    <cellStyle name="Обычный 6 2 4 2 3 2 5 3 2 2" xfId="13662"/>
    <cellStyle name="Обычный 6 2 4 2 3 2 5 3 3" xfId="13663"/>
    <cellStyle name="Обычный 6 2 4 2 3 2 5 4" xfId="6941"/>
    <cellStyle name="Обычный 6 2 4 2 3 2 5 4 2" xfId="13664"/>
    <cellStyle name="Обычный 6 2 4 2 3 2 5 5" xfId="13665"/>
    <cellStyle name="Обычный 6 2 4 2 3 2 6" xfId="1434"/>
    <cellStyle name="Обычный 6 2 4 2 3 2 6 2" xfId="2540"/>
    <cellStyle name="Обычный 6 2 4 2 3 2 6 2 2" xfId="5078"/>
    <cellStyle name="Обычный 6 2 4 2 3 2 6 2 2 2" xfId="10196"/>
    <cellStyle name="Обычный 6 2 4 2 3 2 6 2 2 2 2" xfId="13666"/>
    <cellStyle name="Обычный 6 2 4 2 3 2 6 2 2 3" xfId="13667"/>
    <cellStyle name="Обычный 6 2 4 2 3 2 6 2 3" xfId="8140"/>
    <cellStyle name="Обычный 6 2 4 2 3 2 6 2 3 2" xfId="13668"/>
    <cellStyle name="Обычный 6 2 4 2 3 2 6 2 4" xfId="13669"/>
    <cellStyle name="Обычный 6 2 4 2 3 2 6 3" xfId="4050"/>
    <cellStyle name="Обычный 6 2 4 2 3 2 6 3 2" xfId="9168"/>
    <cellStyle name="Обычный 6 2 4 2 3 2 6 3 2 2" xfId="13670"/>
    <cellStyle name="Обычный 6 2 4 2 3 2 6 3 3" xfId="13671"/>
    <cellStyle name="Обычный 6 2 4 2 3 2 6 4" xfId="7112"/>
    <cellStyle name="Обычный 6 2 4 2 3 2 6 4 2" xfId="13672"/>
    <cellStyle name="Обычный 6 2 4 2 3 2 6 5" xfId="13673"/>
    <cellStyle name="Обычный 6 2 4 2 3 2 7" xfId="1605"/>
    <cellStyle name="Обычный 6 2 4 2 3 2 7 2" xfId="2711"/>
    <cellStyle name="Обычный 6 2 4 2 3 2 7 2 2" xfId="5249"/>
    <cellStyle name="Обычный 6 2 4 2 3 2 7 2 2 2" xfId="10367"/>
    <cellStyle name="Обычный 6 2 4 2 3 2 7 2 2 2 2" xfId="13674"/>
    <cellStyle name="Обычный 6 2 4 2 3 2 7 2 2 3" xfId="13675"/>
    <cellStyle name="Обычный 6 2 4 2 3 2 7 2 3" xfId="8311"/>
    <cellStyle name="Обычный 6 2 4 2 3 2 7 2 3 2" xfId="13676"/>
    <cellStyle name="Обычный 6 2 4 2 3 2 7 2 4" xfId="13677"/>
    <cellStyle name="Обычный 6 2 4 2 3 2 7 3" xfId="4221"/>
    <cellStyle name="Обычный 6 2 4 2 3 2 7 3 2" xfId="9339"/>
    <cellStyle name="Обычный 6 2 4 2 3 2 7 3 2 2" xfId="13678"/>
    <cellStyle name="Обычный 6 2 4 2 3 2 7 3 3" xfId="13679"/>
    <cellStyle name="Обычный 6 2 4 2 3 2 7 4" xfId="7283"/>
    <cellStyle name="Обычный 6 2 4 2 3 2 7 4 2" xfId="13680"/>
    <cellStyle name="Обычный 6 2 4 2 3 2 7 5" xfId="13681"/>
    <cellStyle name="Обычный 6 2 4 2 3 2 8" xfId="3023"/>
    <cellStyle name="Обычный 6 2 4 2 4" xfId="302"/>
    <cellStyle name="Обычный 6 2 4 2 4 2" xfId="722"/>
    <cellStyle name="Обычный 6 2 4 2 4 2 2" xfId="1850"/>
    <cellStyle name="Обычный 6 2 4 2 4 2 2 2" xfId="4393"/>
    <cellStyle name="Обычный 6 2 4 2 4 2 2 2 2" xfId="9511"/>
    <cellStyle name="Обычный 6 2 4 2 4 2 2 2 2 2" xfId="13682"/>
    <cellStyle name="Обычный 6 2 4 2 4 2 2 2 3" xfId="13683"/>
    <cellStyle name="Обычный 6 2 4 2 4 2 2 3" xfId="7455"/>
    <cellStyle name="Обычный 6 2 4 2 4 2 2 3 2" xfId="13684"/>
    <cellStyle name="Обычный 6 2 4 2 4 2 2 4" xfId="13685"/>
    <cellStyle name="Обычный 6 2 4 2 4 2 3" xfId="3365"/>
    <cellStyle name="Обычный 6 2 4 2 4 2 3 2" xfId="8483"/>
    <cellStyle name="Обычный 6 2 4 2 4 2 3 2 2" xfId="13686"/>
    <cellStyle name="Обычный 6 2 4 2 4 2 3 3" xfId="13687"/>
    <cellStyle name="Обычный 6 2 4 2 4 2 4" xfId="6427"/>
    <cellStyle name="Обычный 6 2 4 2 4 2 4 2" xfId="13688"/>
    <cellStyle name="Обычный 6 2 4 2 4 2 5" xfId="13689"/>
    <cellStyle name="Обычный 6 2 4 2 4 3" xfId="909"/>
    <cellStyle name="Обычный 6 2 4 2 4 3 2" xfId="2028"/>
    <cellStyle name="Обычный 6 2 4 2 4 3 2 2" xfId="4566"/>
    <cellStyle name="Обычный 6 2 4 2 4 3 2 2 2" xfId="9684"/>
    <cellStyle name="Обычный 6 2 4 2 4 3 2 2 2 2" xfId="13690"/>
    <cellStyle name="Обычный 6 2 4 2 4 3 2 2 3" xfId="13691"/>
    <cellStyle name="Обычный 6 2 4 2 4 3 2 3" xfId="7628"/>
    <cellStyle name="Обычный 6 2 4 2 4 3 2 3 2" xfId="13692"/>
    <cellStyle name="Обычный 6 2 4 2 4 3 2 4" xfId="13693"/>
    <cellStyle name="Обычный 6 2 4 2 4 3 3" xfId="3538"/>
    <cellStyle name="Обычный 6 2 4 2 4 3 3 2" xfId="8656"/>
    <cellStyle name="Обычный 6 2 4 2 4 3 3 2 2" xfId="13694"/>
    <cellStyle name="Обычный 6 2 4 2 4 3 3 3" xfId="13695"/>
    <cellStyle name="Обычный 6 2 4 2 4 3 4" xfId="6600"/>
    <cellStyle name="Обычный 6 2 4 2 4 3 4 2" xfId="13696"/>
    <cellStyle name="Обычный 6 2 4 2 4 3 5" xfId="13697"/>
    <cellStyle name="Обычный 6 2 4 2 4 4" xfId="1080"/>
    <cellStyle name="Обычный 6 2 4 2 4 4 2" xfId="2199"/>
    <cellStyle name="Обычный 6 2 4 2 4 4 2 2" xfId="4737"/>
    <cellStyle name="Обычный 6 2 4 2 4 4 2 2 2" xfId="9855"/>
    <cellStyle name="Обычный 6 2 4 2 4 4 2 2 2 2" xfId="13698"/>
    <cellStyle name="Обычный 6 2 4 2 4 4 2 2 3" xfId="13699"/>
    <cellStyle name="Обычный 6 2 4 2 4 4 2 3" xfId="7799"/>
    <cellStyle name="Обычный 6 2 4 2 4 4 2 3 2" xfId="13700"/>
    <cellStyle name="Обычный 6 2 4 2 4 4 2 4" xfId="13701"/>
    <cellStyle name="Обычный 6 2 4 2 4 4 3" xfId="3709"/>
    <cellStyle name="Обычный 6 2 4 2 4 4 3 2" xfId="8827"/>
    <cellStyle name="Обычный 6 2 4 2 4 4 3 2 2" xfId="13702"/>
    <cellStyle name="Обычный 6 2 4 2 4 4 3 3" xfId="13703"/>
    <cellStyle name="Обычный 6 2 4 2 4 4 4" xfId="6771"/>
    <cellStyle name="Обычный 6 2 4 2 4 4 4 2" xfId="13704"/>
    <cellStyle name="Обычный 6 2 4 2 4 4 5" xfId="13705"/>
    <cellStyle name="Обычный 6 2 4 2 4 5" xfId="1261"/>
    <cellStyle name="Обычный 6 2 4 2 4 5 2" xfId="2370"/>
    <cellStyle name="Обычный 6 2 4 2 4 5 2 2" xfId="4908"/>
    <cellStyle name="Обычный 6 2 4 2 4 5 2 2 2" xfId="10026"/>
    <cellStyle name="Обычный 6 2 4 2 4 5 2 2 2 2" xfId="13706"/>
    <cellStyle name="Обычный 6 2 4 2 4 5 2 2 3" xfId="13707"/>
    <cellStyle name="Обычный 6 2 4 2 4 5 2 3" xfId="7970"/>
    <cellStyle name="Обычный 6 2 4 2 4 5 2 3 2" xfId="13708"/>
    <cellStyle name="Обычный 6 2 4 2 4 5 2 4" xfId="13709"/>
    <cellStyle name="Обычный 6 2 4 2 4 5 3" xfId="3880"/>
    <cellStyle name="Обычный 6 2 4 2 4 5 3 2" xfId="8998"/>
    <cellStyle name="Обычный 6 2 4 2 4 5 3 2 2" xfId="13710"/>
    <cellStyle name="Обычный 6 2 4 2 4 5 3 3" xfId="13711"/>
    <cellStyle name="Обычный 6 2 4 2 4 5 4" xfId="6942"/>
    <cellStyle name="Обычный 6 2 4 2 4 5 4 2" xfId="13712"/>
    <cellStyle name="Обычный 6 2 4 2 4 5 5" xfId="13713"/>
    <cellStyle name="Обычный 6 2 4 2 4 6" xfId="1435"/>
    <cellStyle name="Обычный 6 2 4 2 4 6 2" xfId="2541"/>
    <cellStyle name="Обычный 6 2 4 2 4 6 2 2" xfId="5079"/>
    <cellStyle name="Обычный 6 2 4 2 4 6 2 2 2" xfId="10197"/>
    <cellStyle name="Обычный 6 2 4 2 4 6 2 2 2 2" xfId="13714"/>
    <cellStyle name="Обычный 6 2 4 2 4 6 2 2 3" xfId="13715"/>
    <cellStyle name="Обычный 6 2 4 2 4 6 2 3" xfId="8141"/>
    <cellStyle name="Обычный 6 2 4 2 4 6 2 3 2" xfId="13716"/>
    <cellStyle name="Обычный 6 2 4 2 4 6 2 4" xfId="13717"/>
    <cellStyle name="Обычный 6 2 4 2 4 6 3" xfId="4051"/>
    <cellStyle name="Обычный 6 2 4 2 4 6 3 2" xfId="9169"/>
    <cellStyle name="Обычный 6 2 4 2 4 6 3 2 2" xfId="13718"/>
    <cellStyle name="Обычный 6 2 4 2 4 6 3 3" xfId="13719"/>
    <cellStyle name="Обычный 6 2 4 2 4 6 4" xfId="7113"/>
    <cellStyle name="Обычный 6 2 4 2 4 6 4 2" xfId="13720"/>
    <cellStyle name="Обычный 6 2 4 2 4 6 5" xfId="13721"/>
    <cellStyle name="Обычный 6 2 4 2 4 7" xfId="1606"/>
    <cellStyle name="Обычный 6 2 4 2 4 7 2" xfId="2712"/>
    <cellStyle name="Обычный 6 2 4 2 4 7 2 2" xfId="5250"/>
    <cellStyle name="Обычный 6 2 4 2 4 7 2 2 2" xfId="10368"/>
    <cellStyle name="Обычный 6 2 4 2 4 7 2 2 2 2" xfId="13722"/>
    <cellStyle name="Обычный 6 2 4 2 4 7 2 2 3" xfId="13723"/>
    <cellStyle name="Обычный 6 2 4 2 4 7 2 3" xfId="8312"/>
    <cellStyle name="Обычный 6 2 4 2 4 7 2 3 2" xfId="13724"/>
    <cellStyle name="Обычный 6 2 4 2 4 7 2 4" xfId="13725"/>
    <cellStyle name="Обычный 6 2 4 2 4 7 3" xfId="4222"/>
    <cellStyle name="Обычный 6 2 4 2 4 7 3 2" xfId="9340"/>
    <cellStyle name="Обычный 6 2 4 2 4 7 3 2 2" xfId="13726"/>
    <cellStyle name="Обычный 6 2 4 2 4 7 3 3" xfId="13727"/>
    <cellStyle name="Обычный 6 2 4 2 4 7 4" xfId="7284"/>
    <cellStyle name="Обычный 6 2 4 2 4 7 4 2" xfId="13728"/>
    <cellStyle name="Обычный 6 2 4 2 4 7 5" xfId="13729"/>
    <cellStyle name="Обычный 6 2 4 2 4 8" xfId="3024"/>
    <cellStyle name="Обычный 6 2 4 3" xfId="303"/>
    <cellStyle name="Обычный 6 2 4 3 2" xfId="304"/>
    <cellStyle name="Обычный 6 2 4 3 2 2" xfId="723"/>
    <cellStyle name="Обычный 6 2 4 3 2 2 2" xfId="1851"/>
    <cellStyle name="Обычный 6 2 4 3 2 2 2 2" xfId="4394"/>
    <cellStyle name="Обычный 6 2 4 3 2 2 2 2 2" xfId="9512"/>
    <cellStyle name="Обычный 6 2 4 3 2 2 2 2 2 2" xfId="13730"/>
    <cellStyle name="Обычный 6 2 4 3 2 2 2 2 3" xfId="13731"/>
    <cellStyle name="Обычный 6 2 4 3 2 2 2 3" xfId="7456"/>
    <cellStyle name="Обычный 6 2 4 3 2 2 2 3 2" xfId="13732"/>
    <cellStyle name="Обычный 6 2 4 3 2 2 2 4" xfId="13733"/>
    <cellStyle name="Обычный 6 2 4 3 2 2 3" xfId="3366"/>
    <cellStyle name="Обычный 6 2 4 3 2 2 3 2" xfId="8484"/>
    <cellStyle name="Обычный 6 2 4 3 2 2 3 2 2" xfId="13734"/>
    <cellStyle name="Обычный 6 2 4 3 2 2 3 3" xfId="13735"/>
    <cellStyle name="Обычный 6 2 4 3 2 2 4" xfId="6428"/>
    <cellStyle name="Обычный 6 2 4 3 2 2 4 2" xfId="13736"/>
    <cellStyle name="Обычный 6 2 4 3 2 2 5" xfId="13737"/>
    <cellStyle name="Обычный 6 2 4 3 2 3" xfId="910"/>
    <cellStyle name="Обычный 6 2 4 3 2 3 2" xfId="2029"/>
    <cellStyle name="Обычный 6 2 4 3 2 3 2 2" xfId="4567"/>
    <cellStyle name="Обычный 6 2 4 3 2 3 2 2 2" xfId="9685"/>
    <cellStyle name="Обычный 6 2 4 3 2 3 2 2 2 2" xfId="13738"/>
    <cellStyle name="Обычный 6 2 4 3 2 3 2 2 3" xfId="13739"/>
    <cellStyle name="Обычный 6 2 4 3 2 3 2 3" xfId="7629"/>
    <cellStyle name="Обычный 6 2 4 3 2 3 2 3 2" xfId="13740"/>
    <cellStyle name="Обычный 6 2 4 3 2 3 2 4" xfId="13741"/>
    <cellStyle name="Обычный 6 2 4 3 2 3 3" xfId="3539"/>
    <cellStyle name="Обычный 6 2 4 3 2 3 3 2" xfId="8657"/>
    <cellStyle name="Обычный 6 2 4 3 2 3 3 2 2" xfId="13742"/>
    <cellStyle name="Обычный 6 2 4 3 2 3 3 3" xfId="13743"/>
    <cellStyle name="Обычный 6 2 4 3 2 3 4" xfId="6601"/>
    <cellStyle name="Обычный 6 2 4 3 2 3 4 2" xfId="13744"/>
    <cellStyle name="Обычный 6 2 4 3 2 3 5" xfId="13745"/>
    <cellStyle name="Обычный 6 2 4 3 2 4" xfId="1081"/>
    <cellStyle name="Обычный 6 2 4 3 2 4 2" xfId="2200"/>
    <cellStyle name="Обычный 6 2 4 3 2 4 2 2" xfId="4738"/>
    <cellStyle name="Обычный 6 2 4 3 2 4 2 2 2" xfId="9856"/>
    <cellStyle name="Обычный 6 2 4 3 2 4 2 2 2 2" xfId="13746"/>
    <cellStyle name="Обычный 6 2 4 3 2 4 2 2 3" xfId="13747"/>
    <cellStyle name="Обычный 6 2 4 3 2 4 2 3" xfId="7800"/>
    <cellStyle name="Обычный 6 2 4 3 2 4 2 3 2" xfId="13748"/>
    <cellStyle name="Обычный 6 2 4 3 2 4 2 4" xfId="13749"/>
    <cellStyle name="Обычный 6 2 4 3 2 4 3" xfId="3710"/>
    <cellStyle name="Обычный 6 2 4 3 2 4 3 2" xfId="8828"/>
    <cellStyle name="Обычный 6 2 4 3 2 4 3 2 2" xfId="13750"/>
    <cellStyle name="Обычный 6 2 4 3 2 4 3 3" xfId="13751"/>
    <cellStyle name="Обычный 6 2 4 3 2 4 4" xfId="6772"/>
    <cellStyle name="Обычный 6 2 4 3 2 4 4 2" xfId="13752"/>
    <cellStyle name="Обычный 6 2 4 3 2 4 5" xfId="13753"/>
    <cellStyle name="Обычный 6 2 4 3 2 5" xfId="1262"/>
    <cellStyle name="Обычный 6 2 4 3 2 5 2" xfId="2371"/>
    <cellStyle name="Обычный 6 2 4 3 2 5 2 2" xfId="4909"/>
    <cellStyle name="Обычный 6 2 4 3 2 5 2 2 2" xfId="10027"/>
    <cellStyle name="Обычный 6 2 4 3 2 5 2 2 2 2" xfId="13754"/>
    <cellStyle name="Обычный 6 2 4 3 2 5 2 2 3" xfId="13755"/>
    <cellStyle name="Обычный 6 2 4 3 2 5 2 3" xfId="7971"/>
    <cellStyle name="Обычный 6 2 4 3 2 5 2 3 2" xfId="13756"/>
    <cellStyle name="Обычный 6 2 4 3 2 5 2 4" xfId="13757"/>
    <cellStyle name="Обычный 6 2 4 3 2 5 3" xfId="3881"/>
    <cellStyle name="Обычный 6 2 4 3 2 5 3 2" xfId="8999"/>
    <cellStyle name="Обычный 6 2 4 3 2 5 3 2 2" xfId="13758"/>
    <cellStyle name="Обычный 6 2 4 3 2 5 3 3" xfId="13759"/>
    <cellStyle name="Обычный 6 2 4 3 2 5 4" xfId="6943"/>
    <cellStyle name="Обычный 6 2 4 3 2 5 4 2" xfId="13760"/>
    <cellStyle name="Обычный 6 2 4 3 2 5 5" xfId="13761"/>
    <cellStyle name="Обычный 6 2 4 3 2 6" xfId="1436"/>
    <cellStyle name="Обычный 6 2 4 3 2 6 2" xfId="2542"/>
    <cellStyle name="Обычный 6 2 4 3 2 6 2 2" xfId="5080"/>
    <cellStyle name="Обычный 6 2 4 3 2 6 2 2 2" xfId="10198"/>
    <cellStyle name="Обычный 6 2 4 3 2 6 2 2 2 2" xfId="13762"/>
    <cellStyle name="Обычный 6 2 4 3 2 6 2 2 3" xfId="13763"/>
    <cellStyle name="Обычный 6 2 4 3 2 6 2 3" xfId="8142"/>
    <cellStyle name="Обычный 6 2 4 3 2 6 2 3 2" xfId="13764"/>
    <cellStyle name="Обычный 6 2 4 3 2 6 2 4" xfId="13765"/>
    <cellStyle name="Обычный 6 2 4 3 2 6 3" xfId="4052"/>
    <cellStyle name="Обычный 6 2 4 3 2 6 3 2" xfId="9170"/>
    <cellStyle name="Обычный 6 2 4 3 2 6 3 2 2" xfId="13766"/>
    <cellStyle name="Обычный 6 2 4 3 2 6 3 3" xfId="13767"/>
    <cellStyle name="Обычный 6 2 4 3 2 6 4" xfId="7114"/>
    <cellStyle name="Обычный 6 2 4 3 2 6 4 2" xfId="13768"/>
    <cellStyle name="Обычный 6 2 4 3 2 6 5" xfId="13769"/>
    <cellStyle name="Обычный 6 2 4 3 2 7" xfId="1607"/>
    <cellStyle name="Обычный 6 2 4 3 2 7 2" xfId="2713"/>
    <cellStyle name="Обычный 6 2 4 3 2 7 2 2" xfId="5251"/>
    <cellStyle name="Обычный 6 2 4 3 2 7 2 2 2" xfId="10369"/>
    <cellStyle name="Обычный 6 2 4 3 2 7 2 2 2 2" xfId="13770"/>
    <cellStyle name="Обычный 6 2 4 3 2 7 2 2 3" xfId="13771"/>
    <cellStyle name="Обычный 6 2 4 3 2 7 2 3" xfId="8313"/>
    <cellStyle name="Обычный 6 2 4 3 2 7 2 3 2" xfId="13772"/>
    <cellStyle name="Обычный 6 2 4 3 2 7 2 4" xfId="13773"/>
    <cellStyle name="Обычный 6 2 4 3 2 7 3" xfId="4223"/>
    <cellStyle name="Обычный 6 2 4 3 2 7 3 2" xfId="9341"/>
    <cellStyle name="Обычный 6 2 4 3 2 7 3 2 2" xfId="13774"/>
    <cellStyle name="Обычный 6 2 4 3 2 7 3 3" xfId="13775"/>
    <cellStyle name="Обычный 6 2 4 3 2 7 4" xfId="7285"/>
    <cellStyle name="Обычный 6 2 4 3 2 7 4 2" xfId="13776"/>
    <cellStyle name="Обычный 6 2 4 3 2 7 5" xfId="13777"/>
    <cellStyle name="Обычный 6 2 4 3 2 8" xfId="3025"/>
    <cellStyle name="Обычный 6 2 4 4" xfId="305"/>
    <cellStyle name="Обычный 6 2 4 4 2" xfId="306"/>
    <cellStyle name="Обычный 6 2 4 4 2 2" xfId="724"/>
    <cellStyle name="Обычный 6 2 4 4 2 2 2" xfId="1852"/>
    <cellStyle name="Обычный 6 2 4 4 2 2 2 2" xfId="4395"/>
    <cellStyle name="Обычный 6 2 4 4 2 2 2 2 2" xfId="9513"/>
    <cellStyle name="Обычный 6 2 4 4 2 2 2 2 2 2" xfId="13778"/>
    <cellStyle name="Обычный 6 2 4 4 2 2 2 2 3" xfId="13779"/>
    <cellStyle name="Обычный 6 2 4 4 2 2 2 3" xfId="7457"/>
    <cellStyle name="Обычный 6 2 4 4 2 2 2 3 2" xfId="13780"/>
    <cellStyle name="Обычный 6 2 4 4 2 2 2 4" xfId="13781"/>
    <cellStyle name="Обычный 6 2 4 4 2 2 3" xfId="3367"/>
    <cellStyle name="Обычный 6 2 4 4 2 2 3 2" xfId="8485"/>
    <cellStyle name="Обычный 6 2 4 4 2 2 3 2 2" xfId="13782"/>
    <cellStyle name="Обычный 6 2 4 4 2 2 3 3" xfId="13783"/>
    <cellStyle name="Обычный 6 2 4 4 2 2 4" xfId="6429"/>
    <cellStyle name="Обычный 6 2 4 4 2 2 4 2" xfId="13784"/>
    <cellStyle name="Обычный 6 2 4 4 2 2 5" xfId="13785"/>
    <cellStyle name="Обычный 6 2 4 4 2 3" xfId="911"/>
    <cellStyle name="Обычный 6 2 4 4 2 3 2" xfId="2030"/>
    <cellStyle name="Обычный 6 2 4 4 2 3 2 2" xfId="4568"/>
    <cellStyle name="Обычный 6 2 4 4 2 3 2 2 2" xfId="9686"/>
    <cellStyle name="Обычный 6 2 4 4 2 3 2 2 2 2" xfId="13786"/>
    <cellStyle name="Обычный 6 2 4 4 2 3 2 2 3" xfId="13787"/>
    <cellStyle name="Обычный 6 2 4 4 2 3 2 3" xfId="7630"/>
    <cellStyle name="Обычный 6 2 4 4 2 3 2 3 2" xfId="13788"/>
    <cellStyle name="Обычный 6 2 4 4 2 3 2 4" xfId="13789"/>
    <cellStyle name="Обычный 6 2 4 4 2 3 3" xfId="3540"/>
    <cellStyle name="Обычный 6 2 4 4 2 3 3 2" xfId="8658"/>
    <cellStyle name="Обычный 6 2 4 4 2 3 3 2 2" xfId="13790"/>
    <cellStyle name="Обычный 6 2 4 4 2 3 3 3" xfId="13791"/>
    <cellStyle name="Обычный 6 2 4 4 2 3 4" xfId="6602"/>
    <cellStyle name="Обычный 6 2 4 4 2 3 4 2" xfId="13792"/>
    <cellStyle name="Обычный 6 2 4 4 2 3 5" xfId="13793"/>
    <cellStyle name="Обычный 6 2 4 4 2 4" xfId="1082"/>
    <cellStyle name="Обычный 6 2 4 4 2 4 2" xfId="2201"/>
    <cellStyle name="Обычный 6 2 4 4 2 4 2 2" xfId="4739"/>
    <cellStyle name="Обычный 6 2 4 4 2 4 2 2 2" xfId="9857"/>
    <cellStyle name="Обычный 6 2 4 4 2 4 2 2 2 2" xfId="13794"/>
    <cellStyle name="Обычный 6 2 4 4 2 4 2 2 3" xfId="13795"/>
    <cellStyle name="Обычный 6 2 4 4 2 4 2 3" xfId="7801"/>
    <cellStyle name="Обычный 6 2 4 4 2 4 2 3 2" xfId="13796"/>
    <cellStyle name="Обычный 6 2 4 4 2 4 2 4" xfId="13797"/>
    <cellStyle name="Обычный 6 2 4 4 2 4 3" xfId="3711"/>
    <cellStyle name="Обычный 6 2 4 4 2 4 3 2" xfId="8829"/>
    <cellStyle name="Обычный 6 2 4 4 2 4 3 2 2" xfId="13798"/>
    <cellStyle name="Обычный 6 2 4 4 2 4 3 3" xfId="13799"/>
    <cellStyle name="Обычный 6 2 4 4 2 4 4" xfId="6773"/>
    <cellStyle name="Обычный 6 2 4 4 2 4 4 2" xfId="13800"/>
    <cellStyle name="Обычный 6 2 4 4 2 4 5" xfId="13801"/>
    <cellStyle name="Обычный 6 2 4 4 2 5" xfId="1263"/>
    <cellStyle name="Обычный 6 2 4 4 2 5 2" xfId="2372"/>
    <cellStyle name="Обычный 6 2 4 4 2 5 2 2" xfId="4910"/>
    <cellStyle name="Обычный 6 2 4 4 2 5 2 2 2" xfId="10028"/>
    <cellStyle name="Обычный 6 2 4 4 2 5 2 2 2 2" xfId="13802"/>
    <cellStyle name="Обычный 6 2 4 4 2 5 2 2 3" xfId="13803"/>
    <cellStyle name="Обычный 6 2 4 4 2 5 2 3" xfId="7972"/>
    <cellStyle name="Обычный 6 2 4 4 2 5 2 3 2" xfId="13804"/>
    <cellStyle name="Обычный 6 2 4 4 2 5 2 4" xfId="13805"/>
    <cellStyle name="Обычный 6 2 4 4 2 5 3" xfId="3882"/>
    <cellStyle name="Обычный 6 2 4 4 2 5 3 2" xfId="9000"/>
    <cellStyle name="Обычный 6 2 4 4 2 5 3 2 2" xfId="13806"/>
    <cellStyle name="Обычный 6 2 4 4 2 5 3 3" xfId="13807"/>
    <cellStyle name="Обычный 6 2 4 4 2 5 4" xfId="6944"/>
    <cellStyle name="Обычный 6 2 4 4 2 5 4 2" xfId="13808"/>
    <cellStyle name="Обычный 6 2 4 4 2 5 5" xfId="13809"/>
    <cellStyle name="Обычный 6 2 4 4 2 6" xfId="1437"/>
    <cellStyle name="Обычный 6 2 4 4 2 6 2" xfId="2543"/>
    <cellStyle name="Обычный 6 2 4 4 2 6 2 2" xfId="5081"/>
    <cellStyle name="Обычный 6 2 4 4 2 6 2 2 2" xfId="10199"/>
    <cellStyle name="Обычный 6 2 4 4 2 6 2 2 2 2" xfId="13810"/>
    <cellStyle name="Обычный 6 2 4 4 2 6 2 2 3" xfId="13811"/>
    <cellStyle name="Обычный 6 2 4 4 2 6 2 3" xfId="8143"/>
    <cellStyle name="Обычный 6 2 4 4 2 6 2 3 2" xfId="13812"/>
    <cellStyle name="Обычный 6 2 4 4 2 6 2 4" xfId="13813"/>
    <cellStyle name="Обычный 6 2 4 4 2 6 3" xfId="4053"/>
    <cellStyle name="Обычный 6 2 4 4 2 6 3 2" xfId="9171"/>
    <cellStyle name="Обычный 6 2 4 4 2 6 3 2 2" xfId="13814"/>
    <cellStyle name="Обычный 6 2 4 4 2 6 3 3" xfId="13815"/>
    <cellStyle name="Обычный 6 2 4 4 2 6 4" xfId="7115"/>
    <cellStyle name="Обычный 6 2 4 4 2 6 4 2" xfId="13816"/>
    <cellStyle name="Обычный 6 2 4 4 2 6 5" xfId="13817"/>
    <cellStyle name="Обычный 6 2 4 4 2 7" xfId="1608"/>
    <cellStyle name="Обычный 6 2 4 4 2 7 2" xfId="2714"/>
    <cellStyle name="Обычный 6 2 4 4 2 7 2 2" xfId="5252"/>
    <cellStyle name="Обычный 6 2 4 4 2 7 2 2 2" xfId="10370"/>
    <cellStyle name="Обычный 6 2 4 4 2 7 2 2 2 2" xfId="13818"/>
    <cellStyle name="Обычный 6 2 4 4 2 7 2 2 3" xfId="13819"/>
    <cellStyle name="Обычный 6 2 4 4 2 7 2 3" xfId="8314"/>
    <cellStyle name="Обычный 6 2 4 4 2 7 2 3 2" xfId="13820"/>
    <cellStyle name="Обычный 6 2 4 4 2 7 2 4" xfId="13821"/>
    <cellStyle name="Обычный 6 2 4 4 2 7 3" xfId="4224"/>
    <cellStyle name="Обычный 6 2 4 4 2 7 3 2" xfId="9342"/>
    <cellStyle name="Обычный 6 2 4 4 2 7 3 2 2" xfId="13822"/>
    <cellStyle name="Обычный 6 2 4 4 2 7 3 3" xfId="13823"/>
    <cellStyle name="Обычный 6 2 4 4 2 7 4" xfId="7286"/>
    <cellStyle name="Обычный 6 2 4 4 2 7 4 2" xfId="13824"/>
    <cellStyle name="Обычный 6 2 4 4 2 7 5" xfId="13825"/>
    <cellStyle name="Обычный 6 2 4 4 2 8" xfId="3026"/>
    <cellStyle name="Обычный 6 2 4 5" xfId="307"/>
    <cellStyle name="Обычный 6 2 4 5 2" xfId="725"/>
    <cellStyle name="Обычный 6 2 4 5 2 2" xfId="1853"/>
    <cellStyle name="Обычный 6 2 4 5 2 2 2" xfId="4396"/>
    <cellStyle name="Обычный 6 2 4 5 2 2 2 2" xfId="9514"/>
    <cellStyle name="Обычный 6 2 4 5 2 2 2 2 2" xfId="13826"/>
    <cellStyle name="Обычный 6 2 4 5 2 2 2 3" xfId="13827"/>
    <cellStyle name="Обычный 6 2 4 5 2 2 3" xfId="7458"/>
    <cellStyle name="Обычный 6 2 4 5 2 2 3 2" xfId="13828"/>
    <cellStyle name="Обычный 6 2 4 5 2 2 4" xfId="13829"/>
    <cellStyle name="Обычный 6 2 4 5 2 3" xfId="3368"/>
    <cellStyle name="Обычный 6 2 4 5 2 3 2" xfId="8486"/>
    <cellStyle name="Обычный 6 2 4 5 2 3 2 2" xfId="13830"/>
    <cellStyle name="Обычный 6 2 4 5 2 3 3" xfId="13831"/>
    <cellStyle name="Обычный 6 2 4 5 2 4" xfId="6430"/>
    <cellStyle name="Обычный 6 2 4 5 2 4 2" xfId="13832"/>
    <cellStyle name="Обычный 6 2 4 5 2 5" xfId="13833"/>
    <cellStyle name="Обычный 6 2 4 5 3" xfId="912"/>
    <cellStyle name="Обычный 6 2 4 5 3 2" xfId="2031"/>
    <cellStyle name="Обычный 6 2 4 5 3 2 2" xfId="4569"/>
    <cellStyle name="Обычный 6 2 4 5 3 2 2 2" xfId="9687"/>
    <cellStyle name="Обычный 6 2 4 5 3 2 2 2 2" xfId="13834"/>
    <cellStyle name="Обычный 6 2 4 5 3 2 2 3" xfId="13835"/>
    <cellStyle name="Обычный 6 2 4 5 3 2 3" xfId="7631"/>
    <cellStyle name="Обычный 6 2 4 5 3 2 3 2" xfId="13836"/>
    <cellStyle name="Обычный 6 2 4 5 3 2 4" xfId="13837"/>
    <cellStyle name="Обычный 6 2 4 5 3 3" xfId="3541"/>
    <cellStyle name="Обычный 6 2 4 5 3 3 2" xfId="8659"/>
    <cellStyle name="Обычный 6 2 4 5 3 3 2 2" xfId="13838"/>
    <cellStyle name="Обычный 6 2 4 5 3 3 3" xfId="13839"/>
    <cellStyle name="Обычный 6 2 4 5 3 4" xfId="6603"/>
    <cellStyle name="Обычный 6 2 4 5 3 4 2" xfId="13840"/>
    <cellStyle name="Обычный 6 2 4 5 3 5" xfId="13841"/>
    <cellStyle name="Обычный 6 2 4 5 4" xfId="1083"/>
    <cellStyle name="Обычный 6 2 4 5 4 2" xfId="2202"/>
    <cellStyle name="Обычный 6 2 4 5 4 2 2" xfId="4740"/>
    <cellStyle name="Обычный 6 2 4 5 4 2 2 2" xfId="9858"/>
    <cellStyle name="Обычный 6 2 4 5 4 2 2 2 2" xfId="13842"/>
    <cellStyle name="Обычный 6 2 4 5 4 2 2 3" xfId="13843"/>
    <cellStyle name="Обычный 6 2 4 5 4 2 3" xfId="7802"/>
    <cellStyle name="Обычный 6 2 4 5 4 2 3 2" xfId="13844"/>
    <cellStyle name="Обычный 6 2 4 5 4 2 4" xfId="13845"/>
    <cellStyle name="Обычный 6 2 4 5 4 3" xfId="3712"/>
    <cellStyle name="Обычный 6 2 4 5 4 3 2" xfId="8830"/>
    <cellStyle name="Обычный 6 2 4 5 4 3 2 2" xfId="13846"/>
    <cellStyle name="Обычный 6 2 4 5 4 3 3" xfId="13847"/>
    <cellStyle name="Обычный 6 2 4 5 4 4" xfId="6774"/>
    <cellStyle name="Обычный 6 2 4 5 4 4 2" xfId="13848"/>
    <cellStyle name="Обычный 6 2 4 5 4 5" xfId="13849"/>
    <cellStyle name="Обычный 6 2 4 5 5" xfId="1264"/>
    <cellStyle name="Обычный 6 2 4 5 5 2" xfId="2373"/>
    <cellStyle name="Обычный 6 2 4 5 5 2 2" xfId="4911"/>
    <cellStyle name="Обычный 6 2 4 5 5 2 2 2" xfId="10029"/>
    <cellStyle name="Обычный 6 2 4 5 5 2 2 2 2" xfId="13850"/>
    <cellStyle name="Обычный 6 2 4 5 5 2 2 3" xfId="13851"/>
    <cellStyle name="Обычный 6 2 4 5 5 2 3" xfId="7973"/>
    <cellStyle name="Обычный 6 2 4 5 5 2 3 2" xfId="13852"/>
    <cellStyle name="Обычный 6 2 4 5 5 2 4" xfId="13853"/>
    <cellStyle name="Обычный 6 2 4 5 5 3" xfId="3883"/>
    <cellStyle name="Обычный 6 2 4 5 5 3 2" xfId="9001"/>
    <cellStyle name="Обычный 6 2 4 5 5 3 2 2" xfId="13854"/>
    <cellStyle name="Обычный 6 2 4 5 5 3 3" xfId="13855"/>
    <cellStyle name="Обычный 6 2 4 5 5 4" xfId="6945"/>
    <cellStyle name="Обычный 6 2 4 5 5 4 2" xfId="13856"/>
    <cellStyle name="Обычный 6 2 4 5 5 5" xfId="13857"/>
    <cellStyle name="Обычный 6 2 4 5 6" xfId="1438"/>
    <cellStyle name="Обычный 6 2 4 5 6 2" xfId="2544"/>
    <cellStyle name="Обычный 6 2 4 5 6 2 2" xfId="5082"/>
    <cellStyle name="Обычный 6 2 4 5 6 2 2 2" xfId="10200"/>
    <cellStyle name="Обычный 6 2 4 5 6 2 2 2 2" xfId="13858"/>
    <cellStyle name="Обычный 6 2 4 5 6 2 2 3" xfId="13859"/>
    <cellStyle name="Обычный 6 2 4 5 6 2 3" xfId="8144"/>
    <cellStyle name="Обычный 6 2 4 5 6 2 3 2" xfId="13860"/>
    <cellStyle name="Обычный 6 2 4 5 6 2 4" xfId="13861"/>
    <cellStyle name="Обычный 6 2 4 5 6 3" xfId="4054"/>
    <cellStyle name="Обычный 6 2 4 5 6 3 2" xfId="9172"/>
    <cellStyle name="Обычный 6 2 4 5 6 3 2 2" xfId="13862"/>
    <cellStyle name="Обычный 6 2 4 5 6 3 3" xfId="13863"/>
    <cellStyle name="Обычный 6 2 4 5 6 4" xfId="7116"/>
    <cellStyle name="Обычный 6 2 4 5 6 4 2" xfId="13864"/>
    <cellStyle name="Обычный 6 2 4 5 6 5" xfId="13865"/>
    <cellStyle name="Обычный 6 2 4 5 7" xfId="1609"/>
    <cellStyle name="Обычный 6 2 4 5 7 2" xfId="2715"/>
    <cellStyle name="Обычный 6 2 4 5 7 2 2" xfId="5253"/>
    <cellStyle name="Обычный 6 2 4 5 7 2 2 2" xfId="10371"/>
    <cellStyle name="Обычный 6 2 4 5 7 2 2 2 2" xfId="13866"/>
    <cellStyle name="Обычный 6 2 4 5 7 2 2 3" xfId="13867"/>
    <cellStyle name="Обычный 6 2 4 5 7 2 3" xfId="8315"/>
    <cellStyle name="Обычный 6 2 4 5 7 2 3 2" xfId="13868"/>
    <cellStyle name="Обычный 6 2 4 5 7 2 4" xfId="13869"/>
    <cellStyle name="Обычный 6 2 4 5 7 3" xfId="4225"/>
    <cellStyle name="Обычный 6 2 4 5 7 3 2" xfId="9343"/>
    <cellStyle name="Обычный 6 2 4 5 7 3 2 2" xfId="13870"/>
    <cellStyle name="Обычный 6 2 4 5 7 3 3" xfId="13871"/>
    <cellStyle name="Обычный 6 2 4 5 7 4" xfId="7287"/>
    <cellStyle name="Обычный 6 2 4 5 7 4 2" xfId="13872"/>
    <cellStyle name="Обычный 6 2 4 5 7 5" xfId="13873"/>
    <cellStyle name="Обычный 6 2 4 5 8" xfId="3027"/>
    <cellStyle name="Обычный 6 2 5" xfId="308"/>
    <cellStyle name="Обычный 6 2 5 2" xfId="309"/>
    <cellStyle name="Обычный 6 2 5 2 2" xfId="310"/>
    <cellStyle name="Обычный 6 2 5 2 2 2" xfId="311"/>
    <cellStyle name="Обычный 6 2 5 2 2 2 2" xfId="726"/>
    <cellStyle name="Обычный 6 2 5 2 2 2 2 2" xfId="1854"/>
    <cellStyle name="Обычный 6 2 5 2 2 2 2 2 2" xfId="4397"/>
    <cellStyle name="Обычный 6 2 5 2 2 2 2 2 2 2" xfId="9515"/>
    <cellStyle name="Обычный 6 2 5 2 2 2 2 2 2 2 2" xfId="13874"/>
    <cellStyle name="Обычный 6 2 5 2 2 2 2 2 2 3" xfId="13875"/>
    <cellStyle name="Обычный 6 2 5 2 2 2 2 2 3" xfId="7459"/>
    <cellStyle name="Обычный 6 2 5 2 2 2 2 2 3 2" xfId="13876"/>
    <cellStyle name="Обычный 6 2 5 2 2 2 2 2 4" xfId="13877"/>
    <cellStyle name="Обычный 6 2 5 2 2 2 2 3" xfId="3369"/>
    <cellStyle name="Обычный 6 2 5 2 2 2 2 3 2" xfId="8487"/>
    <cellStyle name="Обычный 6 2 5 2 2 2 2 3 2 2" xfId="13878"/>
    <cellStyle name="Обычный 6 2 5 2 2 2 2 3 3" xfId="13879"/>
    <cellStyle name="Обычный 6 2 5 2 2 2 2 4" xfId="6431"/>
    <cellStyle name="Обычный 6 2 5 2 2 2 2 4 2" xfId="13880"/>
    <cellStyle name="Обычный 6 2 5 2 2 2 2 5" xfId="13881"/>
    <cellStyle name="Обычный 6 2 5 2 2 2 3" xfId="913"/>
    <cellStyle name="Обычный 6 2 5 2 2 2 3 2" xfId="2032"/>
    <cellStyle name="Обычный 6 2 5 2 2 2 3 2 2" xfId="4570"/>
    <cellStyle name="Обычный 6 2 5 2 2 2 3 2 2 2" xfId="9688"/>
    <cellStyle name="Обычный 6 2 5 2 2 2 3 2 2 2 2" xfId="13882"/>
    <cellStyle name="Обычный 6 2 5 2 2 2 3 2 2 3" xfId="13883"/>
    <cellStyle name="Обычный 6 2 5 2 2 2 3 2 3" xfId="7632"/>
    <cellStyle name="Обычный 6 2 5 2 2 2 3 2 3 2" xfId="13884"/>
    <cellStyle name="Обычный 6 2 5 2 2 2 3 2 4" xfId="13885"/>
    <cellStyle name="Обычный 6 2 5 2 2 2 3 3" xfId="3542"/>
    <cellStyle name="Обычный 6 2 5 2 2 2 3 3 2" xfId="8660"/>
    <cellStyle name="Обычный 6 2 5 2 2 2 3 3 2 2" xfId="13886"/>
    <cellStyle name="Обычный 6 2 5 2 2 2 3 3 3" xfId="13887"/>
    <cellStyle name="Обычный 6 2 5 2 2 2 3 4" xfId="6604"/>
    <cellStyle name="Обычный 6 2 5 2 2 2 3 4 2" xfId="13888"/>
    <cellStyle name="Обычный 6 2 5 2 2 2 3 5" xfId="13889"/>
    <cellStyle name="Обычный 6 2 5 2 2 2 4" xfId="1084"/>
    <cellStyle name="Обычный 6 2 5 2 2 2 4 2" xfId="2203"/>
    <cellStyle name="Обычный 6 2 5 2 2 2 4 2 2" xfId="4741"/>
    <cellStyle name="Обычный 6 2 5 2 2 2 4 2 2 2" xfId="9859"/>
    <cellStyle name="Обычный 6 2 5 2 2 2 4 2 2 2 2" xfId="13890"/>
    <cellStyle name="Обычный 6 2 5 2 2 2 4 2 2 3" xfId="13891"/>
    <cellStyle name="Обычный 6 2 5 2 2 2 4 2 3" xfId="7803"/>
    <cellStyle name="Обычный 6 2 5 2 2 2 4 2 3 2" xfId="13892"/>
    <cellStyle name="Обычный 6 2 5 2 2 2 4 2 4" xfId="13893"/>
    <cellStyle name="Обычный 6 2 5 2 2 2 4 3" xfId="3713"/>
    <cellStyle name="Обычный 6 2 5 2 2 2 4 3 2" xfId="8831"/>
    <cellStyle name="Обычный 6 2 5 2 2 2 4 3 2 2" xfId="13894"/>
    <cellStyle name="Обычный 6 2 5 2 2 2 4 3 3" xfId="13895"/>
    <cellStyle name="Обычный 6 2 5 2 2 2 4 4" xfId="6775"/>
    <cellStyle name="Обычный 6 2 5 2 2 2 4 4 2" xfId="13896"/>
    <cellStyle name="Обычный 6 2 5 2 2 2 4 5" xfId="13897"/>
    <cellStyle name="Обычный 6 2 5 2 2 2 5" xfId="1265"/>
    <cellStyle name="Обычный 6 2 5 2 2 2 5 2" xfId="2374"/>
    <cellStyle name="Обычный 6 2 5 2 2 2 5 2 2" xfId="4912"/>
    <cellStyle name="Обычный 6 2 5 2 2 2 5 2 2 2" xfId="10030"/>
    <cellStyle name="Обычный 6 2 5 2 2 2 5 2 2 2 2" xfId="13898"/>
    <cellStyle name="Обычный 6 2 5 2 2 2 5 2 2 3" xfId="13899"/>
    <cellStyle name="Обычный 6 2 5 2 2 2 5 2 3" xfId="7974"/>
    <cellStyle name="Обычный 6 2 5 2 2 2 5 2 3 2" xfId="13900"/>
    <cellStyle name="Обычный 6 2 5 2 2 2 5 2 4" xfId="13901"/>
    <cellStyle name="Обычный 6 2 5 2 2 2 5 3" xfId="3884"/>
    <cellStyle name="Обычный 6 2 5 2 2 2 5 3 2" xfId="9002"/>
    <cellStyle name="Обычный 6 2 5 2 2 2 5 3 2 2" xfId="13902"/>
    <cellStyle name="Обычный 6 2 5 2 2 2 5 3 3" xfId="13903"/>
    <cellStyle name="Обычный 6 2 5 2 2 2 5 4" xfId="6946"/>
    <cellStyle name="Обычный 6 2 5 2 2 2 5 4 2" xfId="13904"/>
    <cellStyle name="Обычный 6 2 5 2 2 2 5 5" xfId="13905"/>
    <cellStyle name="Обычный 6 2 5 2 2 2 6" xfId="1439"/>
    <cellStyle name="Обычный 6 2 5 2 2 2 6 2" xfId="2545"/>
    <cellStyle name="Обычный 6 2 5 2 2 2 6 2 2" xfId="5083"/>
    <cellStyle name="Обычный 6 2 5 2 2 2 6 2 2 2" xfId="10201"/>
    <cellStyle name="Обычный 6 2 5 2 2 2 6 2 2 2 2" xfId="13906"/>
    <cellStyle name="Обычный 6 2 5 2 2 2 6 2 2 3" xfId="13907"/>
    <cellStyle name="Обычный 6 2 5 2 2 2 6 2 3" xfId="8145"/>
    <cellStyle name="Обычный 6 2 5 2 2 2 6 2 3 2" xfId="13908"/>
    <cellStyle name="Обычный 6 2 5 2 2 2 6 2 4" xfId="13909"/>
    <cellStyle name="Обычный 6 2 5 2 2 2 6 3" xfId="4055"/>
    <cellStyle name="Обычный 6 2 5 2 2 2 6 3 2" xfId="9173"/>
    <cellStyle name="Обычный 6 2 5 2 2 2 6 3 2 2" xfId="13910"/>
    <cellStyle name="Обычный 6 2 5 2 2 2 6 3 3" xfId="13911"/>
    <cellStyle name="Обычный 6 2 5 2 2 2 6 4" xfId="7117"/>
    <cellStyle name="Обычный 6 2 5 2 2 2 6 4 2" xfId="13912"/>
    <cellStyle name="Обычный 6 2 5 2 2 2 6 5" xfId="13913"/>
    <cellStyle name="Обычный 6 2 5 2 2 2 7" xfId="1610"/>
    <cellStyle name="Обычный 6 2 5 2 2 2 7 2" xfId="2716"/>
    <cellStyle name="Обычный 6 2 5 2 2 2 7 2 2" xfId="5254"/>
    <cellStyle name="Обычный 6 2 5 2 2 2 7 2 2 2" xfId="10372"/>
    <cellStyle name="Обычный 6 2 5 2 2 2 7 2 2 2 2" xfId="13914"/>
    <cellStyle name="Обычный 6 2 5 2 2 2 7 2 2 3" xfId="13915"/>
    <cellStyle name="Обычный 6 2 5 2 2 2 7 2 3" xfId="8316"/>
    <cellStyle name="Обычный 6 2 5 2 2 2 7 2 3 2" xfId="13916"/>
    <cellStyle name="Обычный 6 2 5 2 2 2 7 2 4" xfId="13917"/>
    <cellStyle name="Обычный 6 2 5 2 2 2 7 3" xfId="4226"/>
    <cellStyle name="Обычный 6 2 5 2 2 2 7 3 2" xfId="9344"/>
    <cellStyle name="Обычный 6 2 5 2 2 2 7 3 2 2" xfId="13918"/>
    <cellStyle name="Обычный 6 2 5 2 2 2 7 3 3" xfId="13919"/>
    <cellStyle name="Обычный 6 2 5 2 2 2 7 4" xfId="7288"/>
    <cellStyle name="Обычный 6 2 5 2 2 2 7 4 2" xfId="13920"/>
    <cellStyle name="Обычный 6 2 5 2 2 2 7 5" xfId="13921"/>
    <cellStyle name="Обычный 6 2 5 2 2 2 8" xfId="3028"/>
    <cellStyle name="Обычный 6 2 5 2 3" xfId="312"/>
    <cellStyle name="Обычный 6 2 5 2 3 2" xfId="313"/>
    <cellStyle name="Обычный 6 2 5 2 3 2 2" xfId="727"/>
    <cellStyle name="Обычный 6 2 5 2 3 2 2 2" xfId="1855"/>
    <cellStyle name="Обычный 6 2 5 2 3 2 2 2 2" xfId="4398"/>
    <cellStyle name="Обычный 6 2 5 2 3 2 2 2 2 2" xfId="9516"/>
    <cellStyle name="Обычный 6 2 5 2 3 2 2 2 2 2 2" xfId="13922"/>
    <cellStyle name="Обычный 6 2 5 2 3 2 2 2 2 3" xfId="13923"/>
    <cellStyle name="Обычный 6 2 5 2 3 2 2 2 3" xfId="7460"/>
    <cellStyle name="Обычный 6 2 5 2 3 2 2 2 3 2" xfId="13924"/>
    <cellStyle name="Обычный 6 2 5 2 3 2 2 2 4" xfId="13925"/>
    <cellStyle name="Обычный 6 2 5 2 3 2 2 3" xfId="3370"/>
    <cellStyle name="Обычный 6 2 5 2 3 2 2 3 2" xfId="8488"/>
    <cellStyle name="Обычный 6 2 5 2 3 2 2 3 2 2" xfId="13926"/>
    <cellStyle name="Обычный 6 2 5 2 3 2 2 3 3" xfId="13927"/>
    <cellStyle name="Обычный 6 2 5 2 3 2 2 4" xfId="6432"/>
    <cellStyle name="Обычный 6 2 5 2 3 2 2 4 2" xfId="13928"/>
    <cellStyle name="Обычный 6 2 5 2 3 2 2 5" xfId="13929"/>
    <cellStyle name="Обычный 6 2 5 2 3 2 3" xfId="914"/>
    <cellStyle name="Обычный 6 2 5 2 3 2 3 2" xfId="2033"/>
    <cellStyle name="Обычный 6 2 5 2 3 2 3 2 2" xfId="4571"/>
    <cellStyle name="Обычный 6 2 5 2 3 2 3 2 2 2" xfId="9689"/>
    <cellStyle name="Обычный 6 2 5 2 3 2 3 2 2 2 2" xfId="13930"/>
    <cellStyle name="Обычный 6 2 5 2 3 2 3 2 2 3" xfId="13931"/>
    <cellStyle name="Обычный 6 2 5 2 3 2 3 2 3" xfId="7633"/>
    <cellStyle name="Обычный 6 2 5 2 3 2 3 2 3 2" xfId="13932"/>
    <cellStyle name="Обычный 6 2 5 2 3 2 3 2 4" xfId="13933"/>
    <cellStyle name="Обычный 6 2 5 2 3 2 3 3" xfId="3543"/>
    <cellStyle name="Обычный 6 2 5 2 3 2 3 3 2" xfId="8661"/>
    <cellStyle name="Обычный 6 2 5 2 3 2 3 3 2 2" xfId="13934"/>
    <cellStyle name="Обычный 6 2 5 2 3 2 3 3 3" xfId="13935"/>
    <cellStyle name="Обычный 6 2 5 2 3 2 3 4" xfId="6605"/>
    <cellStyle name="Обычный 6 2 5 2 3 2 3 4 2" xfId="13936"/>
    <cellStyle name="Обычный 6 2 5 2 3 2 3 5" xfId="13937"/>
    <cellStyle name="Обычный 6 2 5 2 3 2 4" xfId="1085"/>
    <cellStyle name="Обычный 6 2 5 2 3 2 4 2" xfId="2204"/>
    <cellStyle name="Обычный 6 2 5 2 3 2 4 2 2" xfId="4742"/>
    <cellStyle name="Обычный 6 2 5 2 3 2 4 2 2 2" xfId="9860"/>
    <cellStyle name="Обычный 6 2 5 2 3 2 4 2 2 2 2" xfId="13938"/>
    <cellStyle name="Обычный 6 2 5 2 3 2 4 2 2 3" xfId="13939"/>
    <cellStyle name="Обычный 6 2 5 2 3 2 4 2 3" xfId="7804"/>
    <cellStyle name="Обычный 6 2 5 2 3 2 4 2 3 2" xfId="13940"/>
    <cellStyle name="Обычный 6 2 5 2 3 2 4 2 4" xfId="13941"/>
    <cellStyle name="Обычный 6 2 5 2 3 2 4 3" xfId="3714"/>
    <cellStyle name="Обычный 6 2 5 2 3 2 4 3 2" xfId="8832"/>
    <cellStyle name="Обычный 6 2 5 2 3 2 4 3 2 2" xfId="13942"/>
    <cellStyle name="Обычный 6 2 5 2 3 2 4 3 3" xfId="13943"/>
    <cellStyle name="Обычный 6 2 5 2 3 2 4 4" xfId="6776"/>
    <cellStyle name="Обычный 6 2 5 2 3 2 4 4 2" xfId="13944"/>
    <cellStyle name="Обычный 6 2 5 2 3 2 4 5" xfId="13945"/>
    <cellStyle name="Обычный 6 2 5 2 3 2 5" xfId="1266"/>
    <cellStyle name="Обычный 6 2 5 2 3 2 5 2" xfId="2375"/>
    <cellStyle name="Обычный 6 2 5 2 3 2 5 2 2" xfId="4913"/>
    <cellStyle name="Обычный 6 2 5 2 3 2 5 2 2 2" xfId="10031"/>
    <cellStyle name="Обычный 6 2 5 2 3 2 5 2 2 2 2" xfId="13946"/>
    <cellStyle name="Обычный 6 2 5 2 3 2 5 2 2 3" xfId="13947"/>
    <cellStyle name="Обычный 6 2 5 2 3 2 5 2 3" xfId="7975"/>
    <cellStyle name="Обычный 6 2 5 2 3 2 5 2 3 2" xfId="13948"/>
    <cellStyle name="Обычный 6 2 5 2 3 2 5 2 4" xfId="13949"/>
    <cellStyle name="Обычный 6 2 5 2 3 2 5 3" xfId="3885"/>
    <cellStyle name="Обычный 6 2 5 2 3 2 5 3 2" xfId="9003"/>
    <cellStyle name="Обычный 6 2 5 2 3 2 5 3 2 2" xfId="13950"/>
    <cellStyle name="Обычный 6 2 5 2 3 2 5 3 3" xfId="13951"/>
    <cellStyle name="Обычный 6 2 5 2 3 2 5 4" xfId="6947"/>
    <cellStyle name="Обычный 6 2 5 2 3 2 5 4 2" xfId="13952"/>
    <cellStyle name="Обычный 6 2 5 2 3 2 5 5" xfId="13953"/>
    <cellStyle name="Обычный 6 2 5 2 3 2 6" xfId="1440"/>
    <cellStyle name="Обычный 6 2 5 2 3 2 6 2" xfId="2546"/>
    <cellStyle name="Обычный 6 2 5 2 3 2 6 2 2" xfId="5084"/>
    <cellStyle name="Обычный 6 2 5 2 3 2 6 2 2 2" xfId="10202"/>
    <cellStyle name="Обычный 6 2 5 2 3 2 6 2 2 2 2" xfId="13954"/>
    <cellStyle name="Обычный 6 2 5 2 3 2 6 2 2 3" xfId="13955"/>
    <cellStyle name="Обычный 6 2 5 2 3 2 6 2 3" xfId="8146"/>
    <cellStyle name="Обычный 6 2 5 2 3 2 6 2 3 2" xfId="13956"/>
    <cellStyle name="Обычный 6 2 5 2 3 2 6 2 4" xfId="13957"/>
    <cellStyle name="Обычный 6 2 5 2 3 2 6 3" xfId="4056"/>
    <cellStyle name="Обычный 6 2 5 2 3 2 6 3 2" xfId="9174"/>
    <cellStyle name="Обычный 6 2 5 2 3 2 6 3 2 2" xfId="13958"/>
    <cellStyle name="Обычный 6 2 5 2 3 2 6 3 3" xfId="13959"/>
    <cellStyle name="Обычный 6 2 5 2 3 2 6 4" xfId="7118"/>
    <cellStyle name="Обычный 6 2 5 2 3 2 6 4 2" xfId="13960"/>
    <cellStyle name="Обычный 6 2 5 2 3 2 6 5" xfId="13961"/>
    <cellStyle name="Обычный 6 2 5 2 3 2 7" xfId="1611"/>
    <cellStyle name="Обычный 6 2 5 2 3 2 7 2" xfId="2717"/>
    <cellStyle name="Обычный 6 2 5 2 3 2 7 2 2" xfId="5255"/>
    <cellStyle name="Обычный 6 2 5 2 3 2 7 2 2 2" xfId="10373"/>
    <cellStyle name="Обычный 6 2 5 2 3 2 7 2 2 2 2" xfId="13962"/>
    <cellStyle name="Обычный 6 2 5 2 3 2 7 2 2 3" xfId="13963"/>
    <cellStyle name="Обычный 6 2 5 2 3 2 7 2 3" xfId="8317"/>
    <cellStyle name="Обычный 6 2 5 2 3 2 7 2 3 2" xfId="13964"/>
    <cellStyle name="Обычный 6 2 5 2 3 2 7 2 4" xfId="13965"/>
    <cellStyle name="Обычный 6 2 5 2 3 2 7 3" xfId="4227"/>
    <cellStyle name="Обычный 6 2 5 2 3 2 7 3 2" xfId="9345"/>
    <cellStyle name="Обычный 6 2 5 2 3 2 7 3 2 2" xfId="13966"/>
    <cellStyle name="Обычный 6 2 5 2 3 2 7 3 3" xfId="13967"/>
    <cellStyle name="Обычный 6 2 5 2 3 2 7 4" xfId="7289"/>
    <cellStyle name="Обычный 6 2 5 2 3 2 7 4 2" xfId="13968"/>
    <cellStyle name="Обычный 6 2 5 2 3 2 7 5" xfId="13969"/>
    <cellStyle name="Обычный 6 2 5 2 3 2 8" xfId="3029"/>
    <cellStyle name="Обычный 6 2 5 2 4" xfId="314"/>
    <cellStyle name="Обычный 6 2 5 2 4 2" xfId="728"/>
    <cellStyle name="Обычный 6 2 5 2 4 2 2" xfId="1856"/>
    <cellStyle name="Обычный 6 2 5 2 4 2 2 2" xfId="4399"/>
    <cellStyle name="Обычный 6 2 5 2 4 2 2 2 2" xfId="9517"/>
    <cellStyle name="Обычный 6 2 5 2 4 2 2 2 2 2" xfId="13970"/>
    <cellStyle name="Обычный 6 2 5 2 4 2 2 2 3" xfId="13971"/>
    <cellStyle name="Обычный 6 2 5 2 4 2 2 3" xfId="7461"/>
    <cellStyle name="Обычный 6 2 5 2 4 2 2 3 2" xfId="13972"/>
    <cellStyle name="Обычный 6 2 5 2 4 2 2 4" xfId="13973"/>
    <cellStyle name="Обычный 6 2 5 2 4 2 3" xfId="3371"/>
    <cellStyle name="Обычный 6 2 5 2 4 2 3 2" xfId="8489"/>
    <cellStyle name="Обычный 6 2 5 2 4 2 3 2 2" xfId="13974"/>
    <cellStyle name="Обычный 6 2 5 2 4 2 3 3" xfId="13975"/>
    <cellStyle name="Обычный 6 2 5 2 4 2 4" xfId="6433"/>
    <cellStyle name="Обычный 6 2 5 2 4 2 4 2" xfId="13976"/>
    <cellStyle name="Обычный 6 2 5 2 4 2 5" xfId="13977"/>
    <cellStyle name="Обычный 6 2 5 2 4 3" xfId="915"/>
    <cellStyle name="Обычный 6 2 5 2 4 3 2" xfId="2034"/>
    <cellStyle name="Обычный 6 2 5 2 4 3 2 2" xfId="4572"/>
    <cellStyle name="Обычный 6 2 5 2 4 3 2 2 2" xfId="9690"/>
    <cellStyle name="Обычный 6 2 5 2 4 3 2 2 2 2" xfId="13978"/>
    <cellStyle name="Обычный 6 2 5 2 4 3 2 2 3" xfId="13979"/>
    <cellStyle name="Обычный 6 2 5 2 4 3 2 3" xfId="7634"/>
    <cellStyle name="Обычный 6 2 5 2 4 3 2 3 2" xfId="13980"/>
    <cellStyle name="Обычный 6 2 5 2 4 3 2 4" xfId="13981"/>
    <cellStyle name="Обычный 6 2 5 2 4 3 3" xfId="3544"/>
    <cellStyle name="Обычный 6 2 5 2 4 3 3 2" xfId="8662"/>
    <cellStyle name="Обычный 6 2 5 2 4 3 3 2 2" xfId="13982"/>
    <cellStyle name="Обычный 6 2 5 2 4 3 3 3" xfId="13983"/>
    <cellStyle name="Обычный 6 2 5 2 4 3 4" xfId="6606"/>
    <cellStyle name="Обычный 6 2 5 2 4 3 4 2" xfId="13984"/>
    <cellStyle name="Обычный 6 2 5 2 4 3 5" xfId="13985"/>
    <cellStyle name="Обычный 6 2 5 2 4 4" xfId="1086"/>
    <cellStyle name="Обычный 6 2 5 2 4 4 2" xfId="2205"/>
    <cellStyle name="Обычный 6 2 5 2 4 4 2 2" xfId="4743"/>
    <cellStyle name="Обычный 6 2 5 2 4 4 2 2 2" xfId="9861"/>
    <cellStyle name="Обычный 6 2 5 2 4 4 2 2 2 2" xfId="13986"/>
    <cellStyle name="Обычный 6 2 5 2 4 4 2 2 3" xfId="13987"/>
    <cellStyle name="Обычный 6 2 5 2 4 4 2 3" xfId="7805"/>
    <cellStyle name="Обычный 6 2 5 2 4 4 2 3 2" xfId="13988"/>
    <cellStyle name="Обычный 6 2 5 2 4 4 2 4" xfId="13989"/>
    <cellStyle name="Обычный 6 2 5 2 4 4 3" xfId="3715"/>
    <cellStyle name="Обычный 6 2 5 2 4 4 3 2" xfId="8833"/>
    <cellStyle name="Обычный 6 2 5 2 4 4 3 2 2" xfId="13990"/>
    <cellStyle name="Обычный 6 2 5 2 4 4 3 3" xfId="13991"/>
    <cellStyle name="Обычный 6 2 5 2 4 4 4" xfId="6777"/>
    <cellStyle name="Обычный 6 2 5 2 4 4 4 2" xfId="13992"/>
    <cellStyle name="Обычный 6 2 5 2 4 4 5" xfId="13993"/>
    <cellStyle name="Обычный 6 2 5 2 4 5" xfId="1267"/>
    <cellStyle name="Обычный 6 2 5 2 4 5 2" xfId="2376"/>
    <cellStyle name="Обычный 6 2 5 2 4 5 2 2" xfId="4914"/>
    <cellStyle name="Обычный 6 2 5 2 4 5 2 2 2" xfId="10032"/>
    <cellStyle name="Обычный 6 2 5 2 4 5 2 2 2 2" xfId="13994"/>
    <cellStyle name="Обычный 6 2 5 2 4 5 2 2 3" xfId="13995"/>
    <cellStyle name="Обычный 6 2 5 2 4 5 2 3" xfId="7976"/>
    <cellStyle name="Обычный 6 2 5 2 4 5 2 3 2" xfId="13996"/>
    <cellStyle name="Обычный 6 2 5 2 4 5 2 4" xfId="13997"/>
    <cellStyle name="Обычный 6 2 5 2 4 5 3" xfId="3886"/>
    <cellStyle name="Обычный 6 2 5 2 4 5 3 2" xfId="9004"/>
    <cellStyle name="Обычный 6 2 5 2 4 5 3 2 2" xfId="13998"/>
    <cellStyle name="Обычный 6 2 5 2 4 5 3 3" xfId="13999"/>
    <cellStyle name="Обычный 6 2 5 2 4 5 4" xfId="6948"/>
    <cellStyle name="Обычный 6 2 5 2 4 5 4 2" xfId="14000"/>
    <cellStyle name="Обычный 6 2 5 2 4 5 5" xfId="14001"/>
    <cellStyle name="Обычный 6 2 5 2 4 6" xfId="1441"/>
    <cellStyle name="Обычный 6 2 5 2 4 6 2" xfId="2547"/>
    <cellStyle name="Обычный 6 2 5 2 4 6 2 2" xfId="5085"/>
    <cellStyle name="Обычный 6 2 5 2 4 6 2 2 2" xfId="10203"/>
    <cellStyle name="Обычный 6 2 5 2 4 6 2 2 2 2" xfId="14002"/>
    <cellStyle name="Обычный 6 2 5 2 4 6 2 2 3" xfId="14003"/>
    <cellStyle name="Обычный 6 2 5 2 4 6 2 3" xfId="8147"/>
    <cellStyle name="Обычный 6 2 5 2 4 6 2 3 2" xfId="14004"/>
    <cellStyle name="Обычный 6 2 5 2 4 6 2 4" xfId="14005"/>
    <cellStyle name="Обычный 6 2 5 2 4 6 3" xfId="4057"/>
    <cellStyle name="Обычный 6 2 5 2 4 6 3 2" xfId="9175"/>
    <cellStyle name="Обычный 6 2 5 2 4 6 3 2 2" xfId="14006"/>
    <cellStyle name="Обычный 6 2 5 2 4 6 3 3" xfId="14007"/>
    <cellStyle name="Обычный 6 2 5 2 4 6 4" xfId="7119"/>
    <cellStyle name="Обычный 6 2 5 2 4 6 4 2" xfId="14008"/>
    <cellStyle name="Обычный 6 2 5 2 4 6 5" xfId="14009"/>
    <cellStyle name="Обычный 6 2 5 2 4 7" xfId="1612"/>
    <cellStyle name="Обычный 6 2 5 2 4 7 2" xfId="2718"/>
    <cellStyle name="Обычный 6 2 5 2 4 7 2 2" xfId="5256"/>
    <cellStyle name="Обычный 6 2 5 2 4 7 2 2 2" xfId="10374"/>
    <cellStyle name="Обычный 6 2 5 2 4 7 2 2 2 2" xfId="14010"/>
    <cellStyle name="Обычный 6 2 5 2 4 7 2 2 3" xfId="14011"/>
    <cellStyle name="Обычный 6 2 5 2 4 7 2 3" xfId="8318"/>
    <cellStyle name="Обычный 6 2 5 2 4 7 2 3 2" xfId="14012"/>
    <cellStyle name="Обычный 6 2 5 2 4 7 2 4" xfId="14013"/>
    <cellStyle name="Обычный 6 2 5 2 4 7 3" xfId="4228"/>
    <cellStyle name="Обычный 6 2 5 2 4 7 3 2" xfId="9346"/>
    <cellStyle name="Обычный 6 2 5 2 4 7 3 2 2" xfId="14014"/>
    <cellStyle name="Обычный 6 2 5 2 4 7 3 3" xfId="14015"/>
    <cellStyle name="Обычный 6 2 5 2 4 7 4" xfId="7290"/>
    <cellStyle name="Обычный 6 2 5 2 4 7 4 2" xfId="14016"/>
    <cellStyle name="Обычный 6 2 5 2 4 7 5" xfId="14017"/>
    <cellStyle name="Обычный 6 2 5 2 4 8" xfId="3030"/>
    <cellStyle name="Обычный 6 2 5 3" xfId="315"/>
    <cellStyle name="Обычный 6 2 5 3 2" xfId="316"/>
    <cellStyle name="Обычный 6 2 5 3 2 2" xfId="729"/>
    <cellStyle name="Обычный 6 2 5 3 2 2 2" xfId="1857"/>
    <cellStyle name="Обычный 6 2 5 3 2 2 2 2" xfId="4400"/>
    <cellStyle name="Обычный 6 2 5 3 2 2 2 2 2" xfId="9518"/>
    <cellStyle name="Обычный 6 2 5 3 2 2 2 2 2 2" xfId="14018"/>
    <cellStyle name="Обычный 6 2 5 3 2 2 2 2 3" xfId="14019"/>
    <cellStyle name="Обычный 6 2 5 3 2 2 2 3" xfId="7462"/>
    <cellStyle name="Обычный 6 2 5 3 2 2 2 3 2" xfId="14020"/>
    <cellStyle name="Обычный 6 2 5 3 2 2 2 4" xfId="14021"/>
    <cellStyle name="Обычный 6 2 5 3 2 2 3" xfId="3372"/>
    <cellStyle name="Обычный 6 2 5 3 2 2 3 2" xfId="8490"/>
    <cellStyle name="Обычный 6 2 5 3 2 2 3 2 2" xfId="14022"/>
    <cellStyle name="Обычный 6 2 5 3 2 2 3 3" xfId="14023"/>
    <cellStyle name="Обычный 6 2 5 3 2 2 4" xfId="6434"/>
    <cellStyle name="Обычный 6 2 5 3 2 2 4 2" xfId="14024"/>
    <cellStyle name="Обычный 6 2 5 3 2 2 5" xfId="14025"/>
    <cellStyle name="Обычный 6 2 5 3 2 3" xfId="916"/>
    <cellStyle name="Обычный 6 2 5 3 2 3 2" xfId="2035"/>
    <cellStyle name="Обычный 6 2 5 3 2 3 2 2" xfId="4573"/>
    <cellStyle name="Обычный 6 2 5 3 2 3 2 2 2" xfId="9691"/>
    <cellStyle name="Обычный 6 2 5 3 2 3 2 2 2 2" xfId="14026"/>
    <cellStyle name="Обычный 6 2 5 3 2 3 2 2 3" xfId="14027"/>
    <cellStyle name="Обычный 6 2 5 3 2 3 2 3" xfId="7635"/>
    <cellStyle name="Обычный 6 2 5 3 2 3 2 3 2" xfId="14028"/>
    <cellStyle name="Обычный 6 2 5 3 2 3 2 4" xfId="14029"/>
    <cellStyle name="Обычный 6 2 5 3 2 3 3" xfId="3545"/>
    <cellStyle name="Обычный 6 2 5 3 2 3 3 2" xfId="8663"/>
    <cellStyle name="Обычный 6 2 5 3 2 3 3 2 2" xfId="14030"/>
    <cellStyle name="Обычный 6 2 5 3 2 3 3 3" xfId="14031"/>
    <cellStyle name="Обычный 6 2 5 3 2 3 4" xfId="6607"/>
    <cellStyle name="Обычный 6 2 5 3 2 3 4 2" xfId="14032"/>
    <cellStyle name="Обычный 6 2 5 3 2 3 5" xfId="14033"/>
    <cellStyle name="Обычный 6 2 5 3 2 4" xfId="1087"/>
    <cellStyle name="Обычный 6 2 5 3 2 4 2" xfId="2206"/>
    <cellStyle name="Обычный 6 2 5 3 2 4 2 2" xfId="4744"/>
    <cellStyle name="Обычный 6 2 5 3 2 4 2 2 2" xfId="9862"/>
    <cellStyle name="Обычный 6 2 5 3 2 4 2 2 2 2" xfId="14034"/>
    <cellStyle name="Обычный 6 2 5 3 2 4 2 2 3" xfId="14035"/>
    <cellStyle name="Обычный 6 2 5 3 2 4 2 3" xfId="7806"/>
    <cellStyle name="Обычный 6 2 5 3 2 4 2 3 2" xfId="14036"/>
    <cellStyle name="Обычный 6 2 5 3 2 4 2 4" xfId="14037"/>
    <cellStyle name="Обычный 6 2 5 3 2 4 3" xfId="3716"/>
    <cellStyle name="Обычный 6 2 5 3 2 4 3 2" xfId="8834"/>
    <cellStyle name="Обычный 6 2 5 3 2 4 3 2 2" xfId="14038"/>
    <cellStyle name="Обычный 6 2 5 3 2 4 3 3" xfId="14039"/>
    <cellStyle name="Обычный 6 2 5 3 2 4 4" xfId="6778"/>
    <cellStyle name="Обычный 6 2 5 3 2 4 4 2" xfId="14040"/>
    <cellStyle name="Обычный 6 2 5 3 2 4 5" xfId="14041"/>
    <cellStyle name="Обычный 6 2 5 3 2 5" xfId="1268"/>
    <cellStyle name="Обычный 6 2 5 3 2 5 2" xfId="2377"/>
    <cellStyle name="Обычный 6 2 5 3 2 5 2 2" xfId="4915"/>
    <cellStyle name="Обычный 6 2 5 3 2 5 2 2 2" xfId="10033"/>
    <cellStyle name="Обычный 6 2 5 3 2 5 2 2 2 2" xfId="14042"/>
    <cellStyle name="Обычный 6 2 5 3 2 5 2 2 3" xfId="14043"/>
    <cellStyle name="Обычный 6 2 5 3 2 5 2 3" xfId="7977"/>
    <cellStyle name="Обычный 6 2 5 3 2 5 2 3 2" xfId="14044"/>
    <cellStyle name="Обычный 6 2 5 3 2 5 2 4" xfId="14045"/>
    <cellStyle name="Обычный 6 2 5 3 2 5 3" xfId="3887"/>
    <cellStyle name="Обычный 6 2 5 3 2 5 3 2" xfId="9005"/>
    <cellStyle name="Обычный 6 2 5 3 2 5 3 2 2" xfId="14046"/>
    <cellStyle name="Обычный 6 2 5 3 2 5 3 3" xfId="14047"/>
    <cellStyle name="Обычный 6 2 5 3 2 5 4" xfId="6949"/>
    <cellStyle name="Обычный 6 2 5 3 2 5 4 2" xfId="14048"/>
    <cellStyle name="Обычный 6 2 5 3 2 5 5" xfId="14049"/>
    <cellStyle name="Обычный 6 2 5 3 2 6" xfId="1442"/>
    <cellStyle name="Обычный 6 2 5 3 2 6 2" xfId="2548"/>
    <cellStyle name="Обычный 6 2 5 3 2 6 2 2" xfId="5086"/>
    <cellStyle name="Обычный 6 2 5 3 2 6 2 2 2" xfId="10204"/>
    <cellStyle name="Обычный 6 2 5 3 2 6 2 2 2 2" xfId="14050"/>
    <cellStyle name="Обычный 6 2 5 3 2 6 2 2 3" xfId="14051"/>
    <cellStyle name="Обычный 6 2 5 3 2 6 2 3" xfId="8148"/>
    <cellStyle name="Обычный 6 2 5 3 2 6 2 3 2" xfId="14052"/>
    <cellStyle name="Обычный 6 2 5 3 2 6 2 4" xfId="14053"/>
    <cellStyle name="Обычный 6 2 5 3 2 6 3" xfId="4058"/>
    <cellStyle name="Обычный 6 2 5 3 2 6 3 2" xfId="9176"/>
    <cellStyle name="Обычный 6 2 5 3 2 6 3 2 2" xfId="14054"/>
    <cellStyle name="Обычный 6 2 5 3 2 6 3 3" xfId="14055"/>
    <cellStyle name="Обычный 6 2 5 3 2 6 4" xfId="7120"/>
    <cellStyle name="Обычный 6 2 5 3 2 6 4 2" xfId="14056"/>
    <cellStyle name="Обычный 6 2 5 3 2 6 5" xfId="14057"/>
    <cellStyle name="Обычный 6 2 5 3 2 7" xfId="1613"/>
    <cellStyle name="Обычный 6 2 5 3 2 7 2" xfId="2719"/>
    <cellStyle name="Обычный 6 2 5 3 2 7 2 2" xfId="5257"/>
    <cellStyle name="Обычный 6 2 5 3 2 7 2 2 2" xfId="10375"/>
    <cellStyle name="Обычный 6 2 5 3 2 7 2 2 2 2" xfId="14058"/>
    <cellStyle name="Обычный 6 2 5 3 2 7 2 2 3" xfId="14059"/>
    <cellStyle name="Обычный 6 2 5 3 2 7 2 3" xfId="8319"/>
    <cellStyle name="Обычный 6 2 5 3 2 7 2 3 2" xfId="14060"/>
    <cellStyle name="Обычный 6 2 5 3 2 7 2 4" xfId="14061"/>
    <cellStyle name="Обычный 6 2 5 3 2 7 3" xfId="4229"/>
    <cellStyle name="Обычный 6 2 5 3 2 7 3 2" xfId="9347"/>
    <cellStyle name="Обычный 6 2 5 3 2 7 3 2 2" xfId="14062"/>
    <cellStyle name="Обычный 6 2 5 3 2 7 3 3" xfId="14063"/>
    <cellStyle name="Обычный 6 2 5 3 2 7 4" xfId="7291"/>
    <cellStyle name="Обычный 6 2 5 3 2 7 4 2" xfId="14064"/>
    <cellStyle name="Обычный 6 2 5 3 2 7 5" xfId="14065"/>
    <cellStyle name="Обычный 6 2 5 3 2 8" xfId="3031"/>
    <cellStyle name="Обычный 6 2 5 4" xfId="317"/>
    <cellStyle name="Обычный 6 2 5 4 2" xfId="318"/>
    <cellStyle name="Обычный 6 2 5 4 2 2" xfId="730"/>
    <cellStyle name="Обычный 6 2 5 4 2 2 2" xfId="1858"/>
    <cellStyle name="Обычный 6 2 5 4 2 2 2 2" xfId="4401"/>
    <cellStyle name="Обычный 6 2 5 4 2 2 2 2 2" xfId="9519"/>
    <cellStyle name="Обычный 6 2 5 4 2 2 2 2 2 2" xfId="14066"/>
    <cellStyle name="Обычный 6 2 5 4 2 2 2 2 3" xfId="14067"/>
    <cellStyle name="Обычный 6 2 5 4 2 2 2 3" xfId="7463"/>
    <cellStyle name="Обычный 6 2 5 4 2 2 2 3 2" xfId="14068"/>
    <cellStyle name="Обычный 6 2 5 4 2 2 2 4" xfId="14069"/>
    <cellStyle name="Обычный 6 2 5 4 2 2 3" xfId="3373"/>
    <cellStyle name="Обычный 6 2 5 4 2 2 3 2" xfId="8491"/>
    <cellStyle name="Обычный 6 2 5 4 2 2 3 2 2" xfId="14070"/>
    <cellStyle name="Обычный 6 2 5 4 2 2 3 3" xfId="14071"/>
    <cellStyle name="Обычный 6 2 5 4 2 2 4" xfId="6435"/>
    <cellStyle name="Обычный 6 2 5 4 2 2 4 2" xfId="14072"/>
    <cellStyle name="Обычный 6 2 5 4 2 2 5" xfId="14073"/>
    <cellStyle name="Обычный 6 2 5 4 2 3" xfId="917"/>
    <cellStyle name="Обычный 6 2 5 4 2 3 2" xfId="2036"/>
    <cellStyle name="Обычный 6 2 5 4 2 3 2 2" xfId="4574"/>
    <cellStyle name="Обычный 6 2 5 4 2 3 2 2 2" xfId="9692"/>
    <cellStyle name="Обычный 6 2 5 4 2 3 2 2 2 2" xfId="14074"/>
    <cellStyle name="Обычный 6 2 5 4 2 3 2 2 3" xfId="14075"/>
    <cellStyle name="Обычный 6 2 5 4 2 3 2 3" xfId="7636"/>
    <cellStyle name="Обычный 6 2 5 4 2 3 2 3 2" xfId="14076"/>
    <cellStyle name="Обычный 6 2 5 4 2 3 2 4" xfId="14077"/>
    <cellStyle name="Обычный 6 2 5 4 2 3 3" xfId="3546"/>
    <cellStyle name="Обычный 6 2 5 4 2 3 3 2" xfId="8664"/>
    <cellStyle name="Обычный 6 2 5 4 2 3 3 2 2" xfId="14078"/>
    <cellStyle name="Обычный 6 2 5 4 2 3 3 3" xfId="14079"/>
    <cellStyle name="Обычный 6 2 5 4 2 3 4" xfId="6608"/>
    <cellStyle name="Обычный 6 2 5 4 2 3 4 2" xfId="14080"/>
    <cellStyle name="Обычный 6 2 5 4 2 3 5" xfId="14081"/>
    <cellStyle name="Обычный 6 2 5 4 2 4" xfId="1088"/>
    <cellStyle name="Обычный 6 2 5 4 2 4 2" xfId="2207"/>
    <cellStyle name="Обычный 6 2 5 4 2 4 2 2" xfId="4745"/>
    <cellStyle name="Обычный 6 2 5 4 2 4 2 2 2" xfId="9863"/>
    <cellStyle name="Обычный 6 2 5 4 2 4 2 2 2 2" xfId="14082"/>
    <cellStyle name="Обычный 6 2 5 4 2 4 2 2 3" xfId="14083"/>
    <cellStyle name="Обычный 6 2 5 4 2 4 2 3" xfId="7807"/>
    <cellStyle name="Обычный 6 2 5 4 2 4 2 3 2" xfId="14084"/>
    <cellStyle name="Обычный 6 2 5 4 2 4 2 4" xfId="14085"/>
    <cellStyle name="Обычный 6 2 5 4 2 4 3" xfId="3717"/>
    <cellStyle name="Обычный 6 2 5 4 2 4 3 2" xfId="8835"/>
    <cellStyle name="Обычный 6 2 5 4 2 4 3 2 2" xfId="14086"/>
    <cellStyle name="Обычный 6 2 5 4 2 4 3 3" xfId="14087"/>
    <cellStyle name="Обычный 6 2 5 4 2 4 4" xfId="6779"/>
    <cellStyle name="Обычный 6 2 5 4 2 4 4 2" xfId="14088"/>
    <cellStyle name="Обычный 6 2 5 4 2 4 5" xfId="14089"/>
    <cellStyle name="Обычный 6 2 5 4 2 5" xfId="1269"/>
    <cellStyle name="Обычный 6 2 5 4 2 5 2" xfId="2378"/>
    <cellStyle name="Обычный 6 2 5 4 2 5 2 2" xfId="4916"/>
    <cellStyle name="Обычный 6 2 5 4 2 5 2 2 2" xfId="10034"/>
    <cellStyle name="Обычный 6 2 5 4 2 5 2 2 2 2" xfId="14090"/>
    <cellStyle name="Обычный 6 2 5 4 2 5 2 2 3" xfId="14091"/>
    <cellStyle name="Обычный 6 2 5 4 2 5 2 3" xfId="7978"/>
    <cellStyle name="Обычный 6 2 5 4 2 5 2 3 2" xfId="14092"/>
    <cellStyle name="Обычный 6 2 5 4 2 5 2 4" xfId="14093"/>
    <cellStyle name="Обычный 6 2 5 4 2 5 3" xfId="3888"/>
    <cellStyle name="Обычный 6 2 5 4 2 5 3 2" xfId="9006"/>
    <cellStyle name="Обычный 6 2 5 4 2 5 3 2 2" xfId="14094"/>
    <cellStyle name="Обычный 6 2 5 4 2 5 3 3" xfId="14095"/>
    <cellStyle name="Обычный 6 2 5 4 2 5 4" xfId="6950"/>
    <cellStyle name="Обычный 6 2 5 4 2 5 4 2" xfId="14096"/>
    <cellStyle name="Обычный 6 2 5 4 2 5 5" xfId="14097"/>
    <cellStyle name="Обычный 6 2 5 4 2 6" xfId="1443"/>
    <cellStyle name="Обычный 6 2 5 4 2 6 2" xfId="2549"/>
    <cellStyle name="Обычный 6 2 5 4 2 6 2 2" xfId="5087"/>
    <cellStyle name="Обычный 6 2 5 4 2 6 2 2 2" xfId="10205"/>
    <cellStyle name="Обычный 6 2 5 4 2 6 2 2 2 2" xfId="14098"/>
    <cellStyle name="Обычный 6 2 5 4 2 6 2 2 3" xfId="14099"/>
    <cellStyle name="Обычный 6 2 5 4 2 6 2 3" xfId="8149"/>
    <cellStyle name="Обычный 6 2 5 4 2 6 2 3 2" xfId="14100"/>
    <cellStyle name="Обычный 6 2 5 4 2 6 2 4" xfId="14101"/>
    <cellStyle name="Обычный 6 2 5 4 2 6 3" xfId="4059"/>
    <cellStyle name="Обычный 6 2 5 4 2 6 3 2" xfId="9177"/>
    <cellStyle name="Обычный 6 2 5 4 2 6 3 2 2" xfId="14102"/>
    <cellStyle name="Обычный 6 2 5 4 2 6 3 3" xfId="14103"/>
    <cellStyle name="Обычный 6 2 5 4 2 6 4" xfId="7121"/>
    <cellStyle name="Обычный 6 2 5 4 2 6 4 2" xfId="14104"/>
    <cellStyle name="Обычный 6 2 5 4 2 6 5" xfId="14105"/>
    <cellStyle name="Обычный 6 2 5 4 2 7" xfId="1614"/>
    <cellStyle name="Обычный 6 2 5 4 2 7 2" xfId="2720"/>
    <cellStyle name="Обычный 6 2 5 4 2 7 2 2" xfId="5258"/>
    <cellStyle name="Обычный 6 2 5 4 2 7 2 2 2" xfId="10376"/>
    <cellStyle name="Обычный 6 2 5 4 2 7 2 2 2 2" xfId="14106"/>
    <cellStyle name="Обычный 6 2 5 4 2 7 2 2 3" xfId="14107"/>
    <cellStyle name="Обычный 6 2 5 4 2 7 2 3" xfId="8320"/>
    <cellStyle name="Обычный 6 2 5 4 2 7 2 3 2" xfId="14108"/>
    <cellStyle name="Обычный 6 2 5 4 2 7 2 4" xfId="14109"/>
    <cellStyle name="Обычный 6 2 5 4 2 7 3" xfId="4230"/>
    <cellStyle name="Обычный 6 2 5 4 2 7 3 2" xfId="9348"/>
    <cellStyle name="Обычный 6 2 5 4 2 7 3 2 2" xfId="14110"/>
    <cellStyle name="Обычный 6 2 5 4 2 7 3 3" xfId="14111"/>
    <cellStyle name="Обычный 6 2 5 4 2 7 4" xfId="7292"/>
    <cellStyle name="Обычный 6 2 5 4 2 7 4 2" xfId="14112"/>
    <cellStyle name="Обычный 6 2 5 4 2 7 5" xfId="14113"/>
    <cellStyle name="Обычный 6 2 5 4 2 8" xfId="3032"/>
    <cellStyle name="Обычный 6 2 5 5" xfId="319"/>
    <cellStyle name="Обычный 6 2 5 5 2" xfId="731"/>
    <cellStyle name="Обычный 6 2 5 5 2 2" xfId="1859"/>
    <cellStyle name="Обычный 6 2 5 5 2 2 2" xfId="4402"/>
    <cellStyle name="Обычный 6 2 5 5 2 2 2 2" xfId="9520"/>
    <cellStyle name="Обычный 6 2 5 5 2 2 2 2 2" xfId="14114"/>
    <cellStyle name="Обычный 6 2 5 5 2 2 2 3" xfId="14115"/>
    <cellStyle name="Обычный 6 2 5 5 2 2 3" xfId="7464"/>
    <cellStyle name="Обычный 6 2 5 5 2 2 3 2" xfId="14116"/>
    <cellStyle name="Обычный 6 2 5 5 2 2 4" xfId="14117"/>
    <cellStyle name="Обычный 6 2 5 5 2 3" xfId="3374"/>
    <cellStyle name="Обычный 6 2 5 5 2 3 2" xfId="8492"/>
    <cellStyle name="Обычный 6 2 5 5 2 3 2 2" xfId="14118"/>
    <cellStyle name="Обычный 6 2 5 5 2 3 3" xfId="14119"/>
    <cellStyle name="Обычный 6 2 5 5 2 4" xfId="6436"/>
    <cellStyle name="Обычный 6 2 5 5 2 4 2" xfId="14120"/>
    <cellStyle name="Обычный 6 2 5 5 2 5" xfId="14121"/>
    <cellStyle name="Обычный 6 2 5 5 3" xfId="918"/>
    <cellStyle name="Обычный 6 2 5 5 3 2" xfId="2037"/>
    <cellStyle name="Обычный 6 2 5 5 3 2 2" xfId="4575"/>
    <cellStyle name="Обычный 6 2 5 5 3 2 2 2" xfId="9693"/>
    <cellStyle name="Обычный 6 2 5 5 3 2 2 2 2" xfId="14122"/>
    <cellStyle name="Обычный 6 2 5 5 3 2 2 3" xfId="14123"/>
    <cellStyle name="Обычный 6 2 5 5 3 2 3" xfId="7637"/>
    <cellStyle name="Обычный 6 2 5 5 3 2 3 2" xfId="14124"/>
    <cellStyle name="Обычный 6 2 5 5 3 2 4" xfId="14125"/>
    <cellStyle name="Обычный 6 2 5 5 3 3" xfId="3547"/>
    <cellStyle name="Обычный 6 2 5 5 3 3 2" xfId="8665"/>
    <cellStyle name="Обычный 6 2 5 5 3 3 2 2" xfId="14126"/>
    <cellStyle name="Обычный 6 2 5 5 3 3 3" xfId="14127"/>
    <cellStyle name="Обычный 6 2 5 5 3 4" xfId="6609"/>
    <cellStyle name="Обычный 6 2 5 5 3 4 2" xfId="14128"/>
    <cellStyle name="Обычный 6 2 5 5 3 5" xfId="14129"/>
    <cellStyle name="Обычный 6 2 5 5 4" xfId="1089"/>
    <cellStyle name="Обычный 6 2 5 5 4 2" xfId="2208"/>
    <cellStyle name="Обычный 6 2 5 5 4 2 2" xfId="4746"/>
    <cellStyle name="Обычный 6 2 5 5 4 2 2 2" xfId="9864"/>
    <cellStyle name="Обычный 6 2 5 5 4 2 2 2 2" xfId="14130"/>
    <cellStyle name="Обычный 6 2 5 5 4 2 2 3" xfId="14131"/>
    <cellStyle name="Обычный 6 2 5 5 4 2 3" xfId="7808"/>
    <cellStyle name="Обычный 6 2 5 5 4 2 3 2" xfId="14132"/>
    <cellStyle name="Обычный 6 2 5 5 4 2 4" xfId="14133"/>
    <cellStyle name="Обычный 6 2 5 5 4 3" xfId="3718"/>
    <cellStyle name="Обычный 6 2 5 5 4 3 2" xfId="8836"/>
    <cellStyle name="Обычный 6 2 5 5 4 3 2 2" xfId="14134"/>
    <cellStyle name="Обычный 6 2 5 5 4 3 3" xfId="14135"/>
    <cellStyle name="Обычный 6 2 5 5 4 4" xfId="6780"/>
    <cellStyle name="Обычный 6 2 5 5 4 4 2" xfId="14136"/>
    <cellStyle name="Обычный 6 2 5 5 4 5" xfId="14137"/>
    <cellStyle name="Обычный 6 2 5 5 5" xfId="1270"/>
    <cellStyle name="Обычный 6 2 5 5 5 2" xfId="2379"/>
    <cellStyle name="Обычный 6 2 5 5 5 2 2" xfId="4917"/>
    <cellStyle name="Обычный 6 2 5 5 5 2 2 2" xfId="10035"/>
    <cellStyle name="Обычный 6 2 5 5 5 2 2 2 2" xfId="14138"/>
    <cellStyle name="Обычный 6 2 5 5 5 2 2 3" xfId="14139"/>
    <cellStyle name="Обычный 6 2 5 5 5 2 3" xfId="7979"/>
    <cellStyle name="Обычный 6 2 5 5 5 2 3 2" xfId="14140"/>
    <cellStyle name="Обычный 6 2 5 5 5 2 4" xfId="14141"/>
    <cellStyle name="Обычный 6 2 5 5 5 3" xfId="3889"/>
    <cellStyle name="Обычный 6 2 5 5 5 3 2" xfId="9007"/>
    <cellStyle name="Обычный 6 2 5 5 5 3 2 2" xfId="14142"/>
    <cellStyle name="Обычный 6 2 5 5 5 3 3" xfId="14143"/>
    <cellStyle name="Обычный 6 2 5 5 5 4" xfId="6951"/>
    <cellStyle name="Обычный 6 2 5 5 5 4 2" xfId="14144"/>
    <cellStyle name="Обычный 6 2 5 5 5 5" xfId="14145"/>
    <cellStyle name="Обычный 6 2 5 5 6" xfId="1444"/>
    <cellStyle name="Обычный 6 2 5 5 6 2" xfId="2550"/>
    <cellStyle name="Обычный 6 2 5 5 6 2 2" xfId="5088"/>
    <cellStyle name="Обычный 6 2 5 5 6 2 2 2" xfId="10206"/>
    <cellStyle name="Обычный 6 2 5 5 6 2 2 2 2" xfId="14146"/>
    <cellStyle name="Обычный 6 2 5 5 6 2 2 3" xfId="14147"/>
    <cellStyle name="Обычный 6 2 5 5 6 2 3" xfId="8150"/>
    <cellStyle name="Обычный 6 2 5 5 6 2 3 2" xfId="14148"/>
    <cellStyle name="Обычный 6 2 5 5 6 2 4" xfId="14149"/>
    <cellStyle name="Обычный 6 2 5 5 6 3" xfId="4060"/>
    <cellStyle name="Обычный 6 2 5 5 6 3 2" xfId="9178"/>
    <cellStyle name="Обычный 6 2 5 5 6 3 2 2" xfId="14150"/>
    <cellStyle name="Обычный 6 2 5 5 6 3 3" xfId="14151"/>
    <cellStyle name="Обычный 6 2 5 5 6 4" xfId="7122"/>
    <cellStyle name="Обычный 6 2 5 5 6 4 2" xfId="14152"/>
    <cellStyle name="Обычный 6 2 5 5 6 5" xfId="14153"/>
    <cellStyle name="Обычный 6 2 5 5 7" xfId="1615"/>
    <cellStyle name="Обычный 6 2 5 5 7 2" xfId="2721"/>
    <cellStyle name="Обычный 6 2 5 5 7 2 2" xfId="5259"/>
    <cellStyle name="Обычный 6 2 5 5 7 2 2 2" xfId="10377"/>
    <cellStyle name="Обычный 6 2 5 5 7 2 2 2 2" xfId="14154"/>
    <cellStyle name="Обычный 6 2 5 5 7 2 2 3" xfId="14155"/>
    <cellStyle name="Обычный 6 2 5 5 7 2 3" xfId="8321"/>
    <cellStyle name="Обычный 6 2 5 5 7 2 3 2" xfId="14156"/>
    <cellStyle name="Обычный 6 2 5 5 7 2 4" xfId="14157"/>
    <cellStyle name="Обычный 6 2 5 5 7 3" xfId="4231"/>
    <cellStyle name="Обычный 6 2 5 5 7 3 2" xfId="9349"/>
    <cellStyle name="Обычный 6 2 5 5 7 3 2 2" xfId="14158"/>
    <cellStyle name="Обычный 6 2 5 5 7 3 3" xfId="14159"/>
    <cellStyle name="Обычный 6 2 5 5 7 4" xfId="7293"/>
    <cellStyle name="Обычный 6 2 5 5 7 4 2" xfId="14160"/>
    <cellStyle name="Обычный 6 2 5 5 7 5" xfId="14161"/>
    <cellStyle name="Обычный 6 2 5 5 8" xfId="3033"/>
    <cellStyle name="Обычный 6 2 6" xfId="320"/>
    <cellStyle name="Обычный 6 2 6 2" xfId="321"/>
    <cellStyle name="Обычный 6 2 6 2 2" xfId="322"/>
    <cellStyle name="Обычный 6 2 6 2 2 2" xfId="732"/>
    <cellStyle name="Обычный 6 2 6 2 2 2 2" xfId="1860"/>
    <cellStyle name="Обычный 6 2 6 2 2 2 2 2" xfId="4403"/>
    <cellStyle name="Обычный 6 2 6 2 2 2 2 2 2" xfId="9521"/>
    <cellStyle name="Обычный 6 2 6 2 2 2 2 2 2 2" xfId="14162"/>
    <cellStyle name="Обычный 6 2 6 2 2 2 2 2 3" xfId="14163"/>
    <cellStyle name="Обычный 6 2 6 2 2 2 2 3" xfId="7465"/>
    <cellStyle name="Обычный 6 2 6 2 2 2 2 3 2" xfId="14164"/>
    <cellStyle name="Обычный 6 2 6 2 2 2 2 4" xfId="14165"/>
    <cellStyle name="Обычный 6 2 6 2 2 2 3" xfId="3375"/>
    <cellStyle name="Обычный 6 2 6 2 2 2 3 2" xfId="8493"/>
    <cellStyle name="Обычный 6 2 6 2 2 2 3 2 2" xfId="14166"/>
    <cellStyle name="Обычный 6 2 6 2 2 2 3 3" xfId="14167"/>
    <cellStyle name="Обычный 6 2 6 2 2 2 4" xfId="6437"/>
    <cellStyle name="Обычный 6 2 6 2 2 2 4 2" xfId="14168"/>
    <cellStyle name="Обычный 6 2 6 2 2 2 5" xfId="14169"/>
    <cellStyle name="Обычный 6 2 6 2 2 3" xfId="919"/>
    <cellStyle name="Обычный 6 2 6 2 2 3 2" xfId="2038"/>
    <cellStyle name="Обычный 6 2 6 2 2 3 2 2" xfId="4576"/>
    <cellStyle name="Обычный 6 2 6 2 2 3 2 2 2" xfId="9694"/>
    <cellStyle name="Обычный 6 2 6 2 2 3 2 2 2 2" xfId="14170"/>
    <cellStyle name="Обычный 6 2 6 2 2 3 2 2 3" xfId="14171"/>
    <cellStyle name="Обычный 6 2 6 2 2 3 2 3" xfId="7638"/>
    <cellStyle name="Обычный 6 2 6 2 2 3 2 3 2" xfId="14172"/>
    <cellStyle name="Обычный 6 2 6 2 2 3 2 4" xfId="14173"/>
    <cellStyle name="Обычный 6 2 6 2 2 3 3" xfId="3548"/>
    <cellStyle name="Обычный 6 2 6 2 2 3 3 2" xfId="8666"/>
    <cellStyle name="Обычный 6 2 6 2 2 3 3 2 2" xfId="14174"/>
    <cellStyle name="Обычный 6 2 6 2 2 3 3 3" xfId="14175"/>
    <cellStyle name="Обычный 6 2 6 2 2 3 4" xfId="6610"/>
    <cellStyle name="Обычный 6 2 6 2 2 3 4 2" xfId="14176"/>
    <cellStyle name="Обычный 6 2 6 2 2 3 5" xfId="14177"/>
    <cellStyle name="Обычный 6 2 6 2 2 4" xfId="1090"/>
    <cellStyle name="Обычный 6 2 6 2 2 4 2" xfId="2209"/>
    <cellStyle name="Обычный 6 2 6 2 2 4 2 2" xfId="4747"/>
    <cellStyle name="Обычный 6 2 6 2 2 4 2 2 2" xfId="9865"/>
    <cellStyle name="Обычный 6 2 6 2 2 4 2 2 2 2" xfId="14178"/>
    <cellStyle name="Обычный 6 2 6 2 2 4 2 2 3" xfId="14179"/>
    <cellStyle name="Обычный 6 2 6 2 2 4 2 3" xfId="7809"/>
    <cellStyle name="Обычный 6 2 6 2 2 4 2 3 2" xfId="14180"/>
    <cellStyle name="Обычный 6 2 6 2 2 4 2 4" xfId="14181"/>
    <cellStyle name="Обычный 6 2 6 2 2 4 3" xfId="3719"/>
    <cellStyle name="Обычный 6 2 6 2 2 4 3 2" xfId="8837"/>
    <cellStyle name="Обычный 6 2 6 2 2 4 3 2 2" xfId="14182"/>
    <cellStyle name="Обычный 6 2 6 2 2 4 3 3" xfId="14183"/>
    <cellStyle name="Обычный 6 2 6 2 2 4 4" xfId="6781"/>
    <cellStyle name="Обычный 6 2 6 2 2 4 4 2" xfId="14184"/>
    <cellStyle name="Обычный 6 2 6 2 2 4 5" xfId="14185"/>
    <cellStyle name="Обычный 6 2 6 2 2 5" xfId="1271"/>
    <cellStyle name="Обычный 6 2 6 2 2 5 2" xfId="2380"/>
    <cellStyle name="Обычный 6 2 6 2 2 5 2 2" xfId="4918"/>
    <cellStyle name="Обычный 6 2 6 2 2 5 2 2 2" xfId="10036"/>
    <cellStyle name="Обычный 6 2 6 2 2 5 2 2 2 2" xfId="14186"/>
    <cellStyle name="Обычный 6 2 6 2 2 5 2 2 3" xfId="14187"/>
    <cellStyle name="Обычный 6 2 6 2 2 5 2 3" xfId="7980"/>
    <cellStyle name="Обычный 6 2 6 2 2 5 2 3 2" xfId="14188"/>
    <cellStyle name="Обычный 6 2 6 2 2 5 2 4" xfId="14189"/>
    <cellStyle name="Обычный 6 2 6 2 2 5 3" xfId="3890"/>
    <cellStyle name="Обычный 6 2 6 2 2 5 3 2" xfId="9008"/>
    <cellStyle name="Обычный 6 2 6 2 2 5 3 2 2" xfId="14190"/>
    <cellStyle name="Обычный 6 2 6 2 2 5 3 3" xfId="14191"/>
    <cellStyle name="Обычный 6 2 6 2 2 5 4" xfId="6952"/>
    <cellStyle name="Обычный 6 2 6 2 2 5 4 2" xfId="14192"/>
    <cellStyle name="Обычный 6 2 6 2 2 5 5" xfId="14193"/>
    <cellStyle name="Обычный 6 2 6 2 2 6" xfId="1445"/>
    <cellStyle name="Обычный 6 2 6 2 2 6 2" xfId="2551"/>
    <cellStyle name="Обычный 6 2 6 2 2 6 2 2" xfId="5089"/>
    <cellStyle name="Обычный 6 2 6 2 2 6 2 2 2" xfId="10207"/>
    <cellStyle name="Обычный 6 2 6 2 2 6 2 2 2 2" xfId="14194"/>
    <cellStyle name="Обычный 6 2 6 2 2 6 2 2 3" xfId="14195"/>
    <cellStyle name="Обычный 6 2 6 2 2 6 2 3" xfId="8151"/>
    <cellStyle name="Обычный 6 2 6 2 2 6 2 3 2" xfId="14196"/>
    <cellStyle name="Обычный 6 2 6 2 2 6 2 4" xfId="14197"/>
    <cellStyle name="Обычный 6 2 6 2 2 6 3" xfId="4061"/>
    <cellStyle name="Обычный 6 2 6 2 2 6 3 2" xfId="9179"/>
    <cellStyle name="Обычный 6 2 6 2 2 6 3 2 2" xfId="14198"/>
    <cellStyle name="Обычный 6 2 6 2 2 6 3 3" xfId="14199"/>
    <cellStyle name="Обычный 6 2 6 2 2 6 4" xfId="7123"/>
    <cellStyle name="Обычный 6 2 6 2 2 6 4 2" xfId="14200"/>
    <cellStyle name="Обычный 6 2 6 2 2 6 5" xfId="14201"/>
    <cellStyle name="Обычный 6 2 6 2 2 7" xfId="1616"/>
    <cellStyle name="Обычный 6 2 6 2 2 7 2" xfId="2722"/>
    <cellStyle name="Обычный 6 2 6 2 2 7 2 2" xfId="5260"/>
    <cellStyle name="Обычный 6 2 6 2 2 7 2 2 2" xfId="10378"/>
    <cellStyle name="Обычный 6 2 6 2 2 7 2 2 2 2" xfId="14202"/>
    <cellStyle name="Обычный 6 2 6 2 2 7 2 2 3" xfId="14203"/>
    <cellStyle name="Обычный 6 2 6 2 2 7 2 3" xfId="8322"/>
    <cellStyle name="Обычный 6 2 6 2 2 7 2 3 2" xfId="14204"/>
    <cellStyle name="Обычный 6 2 6 2 2 7 2 4" xfId="14205"/>
    <cellStyle name="Обычный 6 2 6 2 2 7 3" xfId="4232"/>
    <cellStyle name="Обычный 6 2 6 2 2 7 3 2" xfId="9350"/>
    <cellStyle name="Обычный 6 2 6 2 2 7 3 2 2" xfId="14206"/>
    <cellStyle name="Обычный 6 2 6 2 2 7 3 3" xfId="14207"/>
    <cellStyle name="Обычный 6 2 6 2 2 7 4" xfId="7294"/>
    <cellStyle name="Обычный 6 2 6 2 2 7 4 2" xfId="14208"/>
    <cellStyle name="Обычный 6 2 6 2 2 7 5" xfId="14209"/>
    <cellStyle name="Обычный 6 2 6 2 2 8" xfId="3034"/>
    <cellStyle name="Обычный 6 2 6 3" xfId="323"/>
    <cellStyle name="Обычный 6 2 6 3 2" xfId="324"/>
    <cellStyle name="Обычный 6 2 6 3 2 2" xfId="733"/>
    <cellStyle name="Обычный 6 2 6 3 2 2 2" xfId="1861"/>
    <cellStyle name="Обычный 6 2 6 3 2 2 2 2" xfId="4404"/>
    <cellStyle name="Обычный 6 2 6 3 2 2 2 2 2" xfId="9522"/>
    <cellStyle name="Обычный 6 2 6 3 2 2 2 2 2 2" xfId="14210"/>
    <cellStyle name="Обычный 6 2 6 3 2 2 2 2 3" xfId="14211"/>
    <cellStyle name="Обычный 6 2 6 3 2 2 2 3" xfId="7466"/>
    <cellStyle name="Обычный 6 2 6 3 2 2 2 3 2" xfId="14212"/>
    <cellStyle name="Обычный 6 2 6 3 2 2 2 4" xfId="14213"/>
    <cellStyle name="Обычный 6 2 6 3 2 2 3" xfId="3376"/>
    <cellStyle name="Обычный 6 2 6 3 2 2 3 2" xfId="8494"/>
    <cellStyle name="Обычный 6 2 6 3 2 2 3 2 2" xfId="14214"/>
    <cellStyle name="Обычный 6 2 6 3 2 2 3 3" xfId="14215"/>
    <cellStyle name="Обычный 6 2 6 3 2 2 4" xfId="6438"/>
    <cellStyle name="Обычный 6 2 6 3 2 2 4 2" xfId="14216"/>
    <cellStyle name="Обычный 6 2 6 3 2 2 5" xfId="14217"/>
    <cellStyle name="Обычный 6 2 6 3 2 3" xfId="920"/>
    <cellStyle name="Обычный 6 2 6 3 2 3 2" xfId="2039"/>
    <cellStyle name="Обычный 6 2 6 3 2 3 2 2" xfId="4577"/>
    <cellStyle name="Обычный 6 2 6 3 2 3 2 2 2" xfId="9695"/>
    <cellStyle name="Обычный 6 2 6 3 2 3 2 2 2 2" xfId="14218"/>
    <cellStyle name="Обычный 6 2 6 3 2 3 2 2 3" xfId="14219"/>
    <cellStyle name="Обычный 6 2 6 3 2 3 2 3" xfId="7639"/>
    <cellStyle name="Обычный 6 2 6 3 2 3 2 3 2" xfId="14220"/>
    <cellStyle name="Обычный 6 2 6 3 2 3 2 4" xfId="14221"/>
    <cellStyle name="Обычный 6 2 6 3 2 3 3" xfId="3549"/>
    <cellStyle name="Обычный 6 2 6 3 2 3 3 2" xfId="8667"/>
    <cellStyle name="Обычный 6 2 6 3 2 3 3 2 2" xfId="14222"/>
    <cellStyle name="Обычный 6 2 6 3 2 3 3 3" xfId="14223"/>
    <cellStyle name="Обычный 6 2 6 3 2 3 4" xfId="6611"/>
    <cellStyle name="Обычный 6 2 6 3 2 3 4 2" xfId="14224"/>
    <cellStyle name="Обычный 6 2 6 3 2 3 5" xfId="14225"/>
    <cellStyle name="Обычный 6 2 6 3 2 4" xfId="1091"/>
    <cellStyle name="Обычный 6 2 6 3 2 4 2" xfId="2210"/>
    <cellStyle name="Обычный 6 2 6 3 2 4 2 2" xfId="4748"/>
    <cellStyle name="Обычный 6 2 6 3 2 4 2 2 2" xfId="9866"/>
    <cellStyle name="Обычный 6 2 6 3 2 4 2 2 2 2" xfId="14226"/>
    <cellStyle name="Обычный 6 2 6 3 2 4 2 2 3" xfId="14227"/>
    <cellStyle name="Обычный 6 2 6 3 2 4 2 3" xfId="7810"/>
    <cellStyle name="Обычный 6 2 6 3 2 4 2 3 2" xfId="14228"/>
    <cellStyle name="Обычный 6 2 6 3 2 4 2 4" xfId="14229"/>
    <cellStyle name="Обычный 6 2 6 3 2 4 3" xfId="3720"/>
    <cellStyle name="Обычный 6 2 6 3 2 4 3 2" xfId="8838"/>
    <cellStyle name="Обычный 6 2 6 3 2 4 3 2 2" xfId="14230"/>
    <cellStyle name="Обычный 6 2 6 3 2 4 3 3" xfId="14231"/>
    <cellStyle name="Обычный 6 2 6 3 2 4 4" xfId="6782"/>
    <cellStyle name="Обычный 6 2 6 3 2 4 4 2" xfId="14232"/>
    <cellStyle name="Обычный 6 2 6 3 2 4 5" xfId="14233"/>
    <cellStyle name="Обычный 6 2 6 3 2 5" xfId="1272"/>
    <cellStyle name="Обычный 6 2 6 3 2 5 2" xfId="2381"/>
    <cellStyle name="Обычный 6 2 6 3 2 5 2 2" xfId="4919"/>
    <cellStyle name="Обычный 6 2 6 3 2 5 2 2 2" xfId="10037"/>
    <cellStyle name="Обычный 6 2 6 3 2 5 2 2 2 2" xfId="14234"/>
    <cellStyle name="Обычный 6 2 6 3 2 5 2 2 3" xfId="14235"/>
    <cellStyle name="Обычный 6 2 6 3 2 5 2 3" xfId="7981"/>
    <cellStyle name="Обычный 6 2 6 3 2 5 2 3 2" xfId="14236"/>
    <cellStyle name="Обычный 6 2 6 3 2 5 2 4" xfId="14237"/>
    <cellStyle name="Обычный 6 2 6 3 2 5 3" xfId="3891"/>
    <cellStyle name="Обычный 6 2 6 3 2 5 3 2" xfId="9009"/>
    <cellStyle name="Обычный 6 2 6 3 2 5 3 2 2" xfId="14238"/>
    <cellStyle name="Обычный 6 2 6 3 2 5 3 3" xfId="14239"/>
    <cellStyle name="Обычный 6 2 6 3 2 5 4" xfId="6953"/>
    <cellStyle name="Обычный 6 2 6 3 2 5 4 2" xfId="14240"/>
    <cellStyle name="Обычный 6 2 6 3 2 5 5" xfId="14241"/>
    <cellStyle name="Обычный 6 2 6 3 2 6" xfId="1446"/>
    <cellStyle name="Обычный 6 2 6 3 2 6 2" xfId="2552"/>
    <cellStyle name="Обычный 6 2 6 3 2 6 2 2" xfId="5090"/>
    <cellStyle name="Обычный 6 2 6 3 2 6 2 2 2" xfId="10208"/>
    <cellStyle name="Обычный 6 2 6 3 2 6 2 2 2 2" xfId="14242"/>
    <cellStyle name="Обычный 6 2 6 3 2 6 2 2 3" xfId="14243"/>
    <cellStyle name="Обычный 6 2 6 3 2 6 2 3" xfId="8152"/>
    <cellStyle name="Обычный 6 2 6 3 2 6 2 3 2" xfId="14244"/>
    <cellStyle name="Обычный 6 2 6 3 2 6 2 4" xfId="14245"/>
    <cellStyle name="Обычный 6 2 6 3 2 6 3" xfId="4062"/>
    <cellStyle name="Обычный 6 2 6 3 2 6 3 2" xfId="9180"/>
    <cellStyle name="Обычный 6 2 6 3 2 6 3 2 2" xfId="14246"/>
    <cellStyle name="Обычный 6 2 6 3 2 6 3 3" xfId="14247"/>
    <cellStyle name="Обычный 6 2 6 3 2 6 4" xfId="7124"/>
    <cellStyle name="Обычный 6 2 6 3 2 6 4 2" xfId="14248"/>
    <cellStyle name="Обычный 6 2 6 3 2 6 5" xfId="14249"/>
    <cellStyle name="Обычный 6 2 6 3 2 7" xfId="1617"/>
    <cellStyle name="Обычный 6 2 6 3 2 7 2" xfId="2723"/>
    <cellStyle name="Обычный 6 2 6 3 2 7 2 2" xfId="5261"/>
    <cellStyle name="Обычный 6 2 6 3 2 7 2 2 2" xfId="10379"/>
    <cellStyle name="Обычный 6 2 6 3 2 7 2 2 2 2" xfId="14250"/>
    <cellStyle name="Обычный 6 2 6 3 2 7 2 2 3" xfId="14251"/>
    <cellStyle name="Обычный 6 2 6 3 2 7 2 3" xfId="8323"/>
    <cellStyle name="Обычный 6 2 6 3 2 7 2 3 2" xfId="14252"/>
    <cellStyle name="Обычный 6 2 6 3 2 7 2 4" xfId="14253"/>
    <cellStyle name="Обычный 6 2 6 3 2 7 3" xfId="4233"/>
    <cellStyle name="Обычный 6 2 6 3 2 7 3 2" xfId="9351"/>
    <cellStyle name="Обычный 6 2 6 3 2 7 3 2 2" xfId="14254"/>
    <cellStyle name="Обычный 6 2 6 3 2 7 3 3" xfId="14255"/>
    <cellStyle name="Обычный 6 2 6 3 2 7 4" xfId="7295"/>
    <cellStyle name="Обычный 6 2 6 3 2 7 4 2" xfId="14256"/>
    <cellStyle name="Обычный 6 2 6 3 2 7 5" xfId="14257"/>
    <cellStyle name="Обычный 6 2 6 3 2 8" xfId="3035"/>
    <cellStyle name="Обычный 6 2 6 4" xfId="325"/>
    <cellStyle name="Обычный 6 2 6 4 2" xfId="734"/>
    <cellStyle name="Обычный 6 2 6 4 2 2" xfId="1862"/>
    <cellStyle name="Обычный 6 2 6 4 2 2 2" xfId="4405"/>
    <cellStyle name="Обычный 6 2 6 4 2 2 2 2" xfId="9523"/>
    <cellStyle name="Обычный 6 2 6 4 2 2 2 2 2" xfId="14258"/>
    <cellStyle name="Обычный 6 2 6 4 2 2 2 3" xfId="14259"/>
    <cellStyle name="Обычный 6 2 6 4 2 2 3" xfId="7467"/>
    <cellStyle name="Обычный 6 2 6 4 2 2 3 2" xfId="14260"/>
    <cellStyle name="Обычный 6 2 6 4 2 2 4" xfId="14261"/>
    <cellStyle name="Обычный 6 2 6 4 2 3" xfId="3377"/>
    <cellStyle name="Обычный 6 2 6 4 2 3 2" xfId="8495"/>
    <cellStyle name="Обычный 6 2 6 4 2 3 2 2" xfId="14262"/>
    <cellStyle name="Обычный 6 2 6 4 2 3 3" xfId="14263"/>
    <cellStyle name="Обычный 6 2 6 4 2 4" xfId="6439"/>
    <cellStyle name="Обычный 6 2 6 4 2 4 2" xfId="14264"/>
    <cellStyle name="Обычный 6 2 6 4 2 5" xfId="14265"/>
    <cellStyle name="Обычный 6 2 6 4 3" xfId="921"/>
    <cellStyle name="Обычный 6 2 6 4 3 2" xfId="2040"/>
    <cellStyle name="Обычный 6 2 6 4 3 2 2" xfId="4578"/>
    <cellStyle name="Обычный 6 2 6 4 3 2 2 2" xfId="9696"/>
    <cellStyle name="Обычный 6 2 6 4 3 2 2 2 2" xfId="14266"/>
    <cellStyle name="Обычный 6 2 6 4 3 2 2 3" xfId="14267"/>
    <cellStyle name="Обычный 6 2 6 4 3 2 3" xfId="7640"/>
    <cellStyle name="Обычный 6 2 6 4 3 2 3 2" xfId="14268"/>
    <cellStyle name="Обычный 6 2 6 4 3 2 4" xfId="14269"/>
    <cellStyle name="Обычный 6 2 6 4 3 3" xfId="3550"/>
    <cellStyle name="Обычный 6 2 6 4 3 3 2" xfId="8668"/>
    <cellStyle name="Обычный 6 2 6 4 3 3 2 2" xfId="14270"/>
    <cellStyle name="Обычный 6 2 6 4 3 3 3" xfId="14271"/>
    <cellStyle name="Обычный 6 2 6 4 3 4" xfId="6612"/>
    <cellStyle name="Обычный 6 2 6 4 3 4 2" xfId="14272"/>
    <cellStyle name="Обычный 6 2 6 4 3 5" xfId="14273"/>
    <cellStyle name="Обычный 6 2 6 4 4" xfId="1092"/>
    <cellStyle name="Обычный 6 2 6 4 4 2" xfId="2211"/>
    <cellStyle name="Обычный 6 2 6 4 4 2 2" xfId="4749"/>
    <cellStyle name="Обычный 6 2 6 4 4 2 2 2" xfId="9867"/>
    <cellStyle name="Обычный 6 2 6 4 4 2 2 2 2" xfId="14274"/>
    <cellStyle name="Обычный 6 2 6 4 4 2 2 3" xfId="14275"/>
    <cellStyle name="Обычный 6 2 6 4 4 2 3" xfId="7811"/>
    <cellStyle name="Обычный 6 2 6 4 4 2 3 2" xfId="14276"/>
    <cellStyle name="Обычный 6 2 6 4 4 2 4" xfId="14277"/>
    <cellStyle name="Обычный 6 2 6 4 4 3" xfId="3721"/>
    <cellStyle name="Обычный 6 2 6 4 4 3 2" xfId="8839"/>
    <cellStyle name="Обычный 6 2 6 4 4 3 2 2" xfId="14278"/>
    <cellStyle name="Обычный 6 2 6 4 4 3 3" xfId="14279"/>
    <cellStyle name="Обычный 6 2 6 4 4 4" xfId="6783"/>
    <cellStyle name="Обычный 6 2 6 4 4 4 2" xfId="14280"/>
    <cellStyle name="Обычный 6 2 6 4 4 5" xfId="14281"/>
    <cellStyle name="Обычный 6 2 6 4 5" xfId="1273"/>
    <cellStyle name="Обычный 6 2 6 4 5 2" xfId="2382"/>
    <cellStyle name="Обычный 6 2 6 4 5 2 2" xfId="4920"/>
    <cellStyle name="Обычный 6 2 6 4 5 2 2 2" xfId="10038"/>
    <cellStyle name="Обычный 6 2 6 4 5 2 2 2 2" xfId="14282"/>
    <cellStyle name="Обычный 6 2 6 4 5 2 2 3" xfId="14283"/>
    <cellStyle name="Обычный 6 2 6 4 5 2 3" xfId="7982"/>
    <cellStyle name="Обычный 6 2 6 4 5 2 3 2" xfId="14284"/>
    <cellStyle name="Обычный 6 2 6 4 5 2 4" xfId="14285"/>
    <cellStyle name="Обычный 6 2 6 4 5 3" xfId="3892"/>
    <cellStyle name="Обычный 6 2 6 4 5 3 2" xfId="9010"/>
    <cellStyle name="Обычный 6 2 6 4 5 3 2 2" xfId="14286"/>
    <cellStyle name="Обычный 6 2 6 4 5 3 3" xfId="14287"/>
    <cellStyle name="Обычный 6 2 6 4 5 4" xfId="6954"/>
    <cellStyle name="Обычный 6 2 6 4 5 4 2" xfId="14288"/>
    <cellStyle name="Обычный 6 2 6 4 5 5" xfId="14289"/>
    <cellStyle name="Обычный 6 2 6 4 6" xfId="1447"/>
    <cellStyle name="Обычный 6 2 6 4 6 2" xfId="2553"/>
    <cellStyle name="Обычный 6 2 6 4 6 2 2" xfId="5091"/>
    <cellStyle name="Обычный 6 2 6 4 6 2 2 2" xfId="10209"/>
    <cellStyle name="Обычный 6 2 6 4 6 2 2 2 2" xfId="14290"/>
    <cellStyle name="Обычный 6 2 6 4 6 2 2 3" xfId="14291"/>
    <cellStyle name="Обычный 6 2 6 4 6 2 3" xfId="8153"/>
    <cellStyle name="Обычный 6 2 6 4 6 2 3 2" xfId="14292"/>
    <cellStyle name="Обычный 6 2 6 4 6 2 4" xfId="14293"/>
    <cellStyle name="Обычный 6 2 6 4 6 3" xfId="4063"/>
    <cellStyle name="Обычный 6 2 6 4 6 3 2" xfId="9181"/>
    <cellStyle name="Обычный 6 2 6 4 6 3 2 2" xfId="14294"/>
    <cellStyle name="Обычный 6 2 6 4 6 3 3" xfId="14295"/>
    <cellStyle name="Обычный 6 2 6 4 6 4" xfId="7125"/>
    <cellStyle name="Обычный 6 2 6 4 6 4 2" xfId="14296"/>
    <cellStyle name="Обычный 6 2 6 4 6 5" xfId="14297"/>
    <cellStyle name="Обычный 6 2 6 4 7" xfId="1618"/>
    <cellStyle name="Обычный 6 2 6 4 7 2" xfId="2724"/>
    <cellStyle name="Обычный 6 2 6 4 7 2 2" xfId="5262"/>
    <cellStyle name="Обычный 6 2 6 4 7 2 2 2" xfId="10380"/>
    <cellStyle name="Обычный 6 2 6 4 7 2 2 2 2" xfId="14298"/>
    <cellStyle name="Обычный 6 2 6 4 7 2 2 3" xfId="14299"/>
    <cellStyle name="Обычный 6 2 6 4 7 2 3" xfId="8324"/>
    <cellStyle name="Обычный 6 2 6 4 7 2 3 2" xfId="14300"/>
    <cellStyle name="Обычный 6 2 6 4 7 2 4" xfId="14301"/>
    <cellStyle name="Обычный 6 2 6 4 7 3" xfId="4234"/>
    <cellStyle name="Обычный 6 2 6 4 7 3 2" xfId="9352"/>
    <cellStyle name="Обычный 6 2 6 4 7 3 2 2" xfId="14302"/>
    <cellStyle name="Обычный 6 2 6 4 7 3 3" xfId="14303"/>
    <cellStyle name="Обычный 6 2 6 4 7 4" xfId="7296"/>
    <cellStyle name="Обычный 6 2 6 4 7 4 2" xfId="14304"/>
    <cellStyle name="Обычный 6 2 6 4 7 5" xfId="14305"/>
    <cellStyle name="Обычный 6 2 6 4 8" xfId="3036"/>
    <cellStyle name="Обычный 6 2 7" xfId="326"/>
    <cellStyle name="Обычный 6 2 7 2" xfId="327"/>
    <cellStyle name="Обычный 6 2 7 2 2" xfId="735"/>
    <cellStyle name="Обычный 6 2 7 2 2 2" xfId="1863"/>
    <cellStyle name="Обычный 6 2 7 2 2 2 2" xfId="4406"/>
    <cellStyle name="Обычный 6 2 7 2 2 2 2 2" xfId="9524"/>
    <cellStyle name="Обычный 6 2 7 2 2 2 2 2 2" xfId="14306"/>
    <cellStyle name="Обычный 6 2 7 2 2 2 2 3" xfId="14307"/>
    <cellStyle name="Обычный 6 2 7 2 2 2 3" xfId="7468"/>
    <cellStyle name="Обычный 6 2 7 2 2 2 3 2" xfId="14308"/>
    <cellStyle name="Обычный 6 2 7 2 2 2 4" xfId="14309"/>
    <cellStyle name="Обычный 6 2 7 2 2 3" xfId="3378"/>
    <cellStyle name="Обычный 6 2 7 2 2 3 2" xfId="8496"/>
    <cellStyle name="Обычный 6 2 7 2 2 3 2 2" xfId="14310"/>
    <cellStyle name="Обычный 6 2 7 2 2 3 3" xfId="14311"/>
    <cellStyle name="Обычный 6 2 7 2 2 4" xfId="6440"/>
    <cellStyle name="Обычный 6 2 7 2 2 4 2" xfId="14312"/>
    <cellStyle name="Обычный 6 2 7 2 2 5" xfId="14313"/>
    <cellStyle name="Обычный 6 2 7 2 3" xfId="922"/>
    <cellStyle name="Обычный 6 2 7 2 3 2" xfId="2041"/>
    <cellStyle name="Обычный 6 2 7 2 3 2 2" xfId="4579"/>
    <cellStyle name="Обычный 6 2 7 2 3 2 2 2" xfId="9697"/>
    <cellStyle name="Обычный 6 2 7 2 3 2 2 2 2" xfId="14314"/>
    <cellStyle name="Обычный 6 2 7 2 3 2 2 3" xfId="14315"/>
    <cellStyle name="Обычный 6 2 7 2 3 2 3" xfId="7641"/>
    <cellStyle name="Обычный 6 2 7 2 3 2 3 2" xfId="14316"/>
    <cellStyle name="Обычный 6 2 7 2 3 2 4" xfId="14317"/>
    <cellStyle name="Обычный 6 2 7 2 3 3" xfId="3551"/>
    <cellStyle name="Обычный 6 2 7 2 3 3 2" xfId="8669"/>
    <cellStyle name="Обычный 6 2 7 2 3 3 2 2" xfId="14318"/>
    <cellStyle name="Обычный 6 2 7 2 3 3 3" xfId="14319"/>
    <cellStyle name="Обычный 6 2 7 2 3 4" xfId="6613"/>
    <cellStyle name="Обычный 6 2 7 2 3 4 2" xfId="14320"/>
    <cellStyle name="Обычный 6 2 7 2 3 5" xfId="14321"/>
    <cellStyle name="Обычный 6 2 7 2 4" xfId="1093"/>
    <cellStyle name="Обычный 6 2 7 2 4 2" xfId="2212"/>
    <cellStyle name="Обычный 6 2 7 2 4 2 2" xfId="4750"/>
    <cellStyle name="Обычный 6 2 7 2 4 2 2 2" xfId="9868"/>
    <cellStyle name="Обычный 6 2 7 2 4 2 2 2 2" xfId="14322"/>
    <cellStyle name="Обычный 6 2 7 2 4 2 2 3" xfId="14323"/>
    <cellStyle name="Обычный 6 2 7 2 4 2 3" xfId="7812"/>
    <cellStyle name="Обычный 6 2 7 2 4 2 3 2" xfId="14324"/>
    <cellStyle name="Обычный 6 2 7 2 4 2 4" xfId="14325"/>
    <cellStyle name="Обычный 6 2 7 2 4 3" xfId="3722"/>
    <cellStyle name="Обычный 6 2 7 2 4 3 2" xfId="8840"/>
    <cellStyle name="Обычный 6 2 7 2 4 3 2 2" xfId="14326"/>
    <cellStyle name="Обычный 6 2 7 2 4 3 3" xfId="14327"/>
    <cellStyle name="Обычный 6 2 7 2 4 4" xfId="6784"/>
    <cellStyle name="Обычный 6 2 7 2 4 4 2" xfId="14328"/>
    <cellStyle name="Обычный 6 2 7 2 4 5" xfId="14329"/>
    <cellStyle name="Обычный 6 2 7 2 5" xfId="1274"/>
    <cellStyle name="Обычный 6 2 7 2 5 2" xfId="2383"/>
    <cellStyle name="Обычный 6 2 7 2 5 2 2" xfId="4921"/>
    <cellStyle name="Обычный 6 2 7 2 5 2 2 2" xfId="10039"/>
    <cellStyle name="Обычный 6 2 7 2 5 2 2 2 2" xfId="14330"/>
    <cellStyle name="Обычный 6 2 7 2 5 2 2 3" xfId="14331"/>
    <cellStyle name="Обычный 6 2 7 2 5 2 3" xfId="7983"/>
    <cellStyle name="Обычный 6 2 7 2 5 2 3 2" xfId="14332"/>
    <cellStyle name="Обычный 6 2 7 2 5 2 4" xfId="14333"/>
    <cellStyle name="Обычный 6 2 7 2 5 3" xfId="3893"/>
    <cellStyle name="Обычный 6 2 7 2 5 3 2" xfId="9011"/>
    <cellStyle name="Обычный 6 2 7 2 5 3 2 2" xfId="14334"/>
    <cellStyle name="Обычный 6 2 7 2 5 3 3" xfId="14335"/>
    <cellStyle name="Обычный 6 2 7 2 5 4" xfId="6955"/>
    <cellStyle name="Обычный 6 2 7 2 5 4 2" xfId="14336"/>
    <cellStyle name="Обычный 6 2 7 2 5 5" xfId="14337"/>
    <cellStyle name="Обычный 6 2 7 2 6" xfId="1448"/>
    <cellStyle name="Обычный 6 2 7 2 6 2" xfId="2554"/>
    <cellStyle name="Обычный 6 2 7 2 6 2 2" xfId="5092"/>
    <cellStyle name="Обычный 6 2 7 2 6 2 2 2" xfId="10210"/>
    <cellStyle name="Обычный 6 2 7 2 6 2 2 2 2" xfId="14338"/>
    <cellStyle name="Обычный 6 2 7 2 6 2 2 3" xfId="14339"/>
    <cellStyle name="Обычный 6 2 7 2 6 2 3" xfId="8154"/>
    <cellStyle name="Обычный 6 2 7 2 6 2 3 2" xfId="14340"/>
    <cellStyle name="Обычный 6 2 7 2 6 2 4" xfId="14341"/>
    <cellStyle name="Обычный 6 2 7 2 6 3" xfId="4064"/>
    <cellStyle name="Обычный 6 2 7 2 6 3 2" xfId="9182"/>
    <cellStyle name="Обычный 6 2 7 2 6 3 2 2" xfId="14342"/>
    <cellStyle name="Обычный 6 2 7 2 6 3 3" xfId="14343"/>
    <cellStyle name="Обычный 6 2 7 2 6 4" xfId="7126"/>
    <cellStyle name="Обычный 6 2 7 2 6 4 2" xfId="14344"/>
    <cellStyle name="Обычный 6 2 7 2 6 5" xfId="14345"/>
    <cellStyle name="Обычный 6 2 7 2 7" xfId="1619"/>
    <cellStyle name="Обычный 6 2 7 2 7 2" xfId="2725"/>
    <cellStyle name="Обычный 6 2 7 2 7 2 2" xfId="5263"/>
    <cellStyle name="Обычный 6 2 7 2 7 2 2 2" xfId="10381"/>
    <cellStyle name="Обычный 6 2 7 2 7 2 2 2 2" xfId="14346"/>
    <cellStyle name="Обычный 6 2 7 2 7 2 2 3" xfId="14347"/>
    <cellStyle name="Обычный 6 2 7 2 7 2 3" xfId="8325"/>
    <cellStyle name="Обычный 6 2 7 2 7 2 3 2" xfId="14348"/>
    <cellStyle name="Обычный 6 2 7 2 7 2 4" xfId="14349"/>
    <cellStyle name="Обычный 6 2 7 2 7 3" xfId="4235"/>
    <cellStyle name="Обычный 6 2 7 2 7 3 2" xfId="9353"/>
    <cellStyle name="Обычный 6 2 7 2 7 3 2 2" xfId="14350"/>
    <cellStyle name="Обычный 6 2 7 2 7 3 3" xfId="14351"/>
    <cellStyle name="Обычный 6 2 7 2 7 4" xfId="7297"/>
    <cellStyle name="Обычный 6 2 7 2 7 4 2" xfId="14352"/>
    <cellStyle name="Обычный 6 2 7 2 7 5" xfId="14353"/>
    <cellStyle name="Обычный 6 2 7 2 8" xfId="3037"/>
    <cellStyle name="Обычный 6 2 8" xfId="328"/>
    <cellStyle name="Обычный 6 2 8 2" xfId="329"/>
    <cellStyle name="Обычный 6 2 8 2 2" xfId="736"/>
    <cellStyle name="Обычный 6 2 8 2 2 2" xfId="1864"/>
    <cellStyle name="Обычный 6 2 8 2 2 2 2" xfId="4407"/>
    <cellStyle name="Обычный 6 2 8 2 2 2 2 2" xfId="9525"/>
    <cellStyle name="Обычный 6 2 8 2 2 2 2 2 2" xfId="14354"/>
    <cellStyle name="Обычный 6 2 8 2 2 2 2 3" xfId="14355"/>
    <cellStyle name="Обычный 6 2 8 2 2 2 3" xfId="7469"/>
    <cellStyle name="Обычный 6 2 8 2 2 2 3 2" xfId="14356"/>
    <cellStyle name="Обычный 6 2 8 2 2 2 4" xfId="14357"/>
    <cellStyle name="Обычный 6 2 8 2 2 3" xfId="3379"/>
    <cellStyle name="Обычный 6 2 8 2 2 3 2" xfId="8497"/>
    <cellStyle name="Обычный 6 2 8 2 2 3 2 2" xfId="14358"/>
    <cellStyle name="Обычный 6 2 8 2 2 3 3" xfId="14359"/>
    <cellStyle name="Обычный 6 2 8 2 2 4" xfId="6441"/>
    <cellStyle name="Обычный 6 2 8 2 2 4 2" xfId="14360"/>
    <cellStyle name="Обычный 6 2 8 2 2 5" xfId="14361"/>
    <cellStyle name="Обычный 6 2 8 2 3" xfId="923"/>
    <cellStyle name="Обычный 6 2 8 2 3 2" xfId="2042"/>
    <cellStyle name="Обычный 6 2 8 2 3 2 2" xfId="4580"/>
    <cellStyle name="Обычный 6 2 8 2 3 2 2 2" xfId="9698"/>
    <cellStyle name="Обычный 6 2 8 2 3 2 2 2 2" xfId="14362"/>
    <cellStyle name="Обычный 6 2 8 2 3 2 2 3" xfId="14363"/>
    <cellStyle name="Обычный 6 2 8 2 3 2 3" xfId="7642"/>
    <cellStyle name="Обычный 6 2 8 2 3 2 3 2" xfId="14364"/>
    <cellStyle name="Обычный 6 2 8 2 3 2 4" xfId="14365"/>
    <cellStyle name="Обычный 6 2 8 2 3 3" xfId="3552"/>
    <cellStyle name="Обычный 6 2 8 2 3 3 2" xfId="8670"/>
    <cellStyle name="Обычный 6 2 8 2 3 3 2 2" xfId="14366"/>
    <cellStyle name="Обычный 6 2 8 2 3 3 3" xfId="14367"/>
    <cellStyle name="Обычный 6 2 8 2 3 4" xfId="6614"/>
    <cellStyle name="Обычный 6 2 8 2 3 4 2" xfId="14368"/>
    <cellStyle name="Обычный 6 2 8 2 3 5" xfId="14369"/>
    <cellStyle name="Обычный 6 2 8 2 4" xfId="1094"/>
    <cellStyle name="Обычный 6 2 8 2 4 2" xfId="2213"/>
    <cellStyle name="Обычный 6 2 8 2 4 2 2" xfId="4751"/>
    <cellStyle name="Обычный 6 2 8 2 4 2 2 2" xfId="9869"/>
    <cellStyle name="Обычный 6 2 8 2 4 2 2 2 2" xfId="14370"/>
    <cellStyle name="Обычный 6 2 8 2 4 2 2 3" xfId="14371"/>
    <cellStyle name="Обычный 6 2 8 2 4 2 3" xfId="7813"/>
    <cellStyle name="Обычный 6 2 8 2 4 2 3 2" xfId="14372"/>
    <cellStyle name="Обычный 6 2 8 2 4 2 4" xfId="14373"/>
    <cellStyle name="Обычный 6 2 8 2 4 3" xfId="3723"/>
    <cellStyle name="Обычный 6 2 8 2 4 3 2" xfId="8841"/>
    <cellStyle name="Обычный 6 2 8 2 4 3 2 2" xfId="14374"/>
    <cellStyle name="Обычный 6 2 8 2 4 3 3" xfId="14375"/>
    <cellStyle name="Обычный 6 2 8 2 4 4" xfId="6785"/>
    <cellStyle name="Обычный 6 2 8 2 4 4 2" xfId="14376"/>
    <cellStyle name="Обычный 6 2 8 2 4 5" xfId="14377"/>
    <cellStyle name="Обычный 6 2 8 2 5" xfId="1275"/>
    <cellStyle name="Обычный 6 2 8 2 5 2" xfId="2384"/>
    <cellStyle name="Обычный 6 2 8 2 5 2 2" xfId="4922"/>
    <cellStyle name="Обычный 6 2 8 2 5 2 2 2" xfId="10040"/>
    <cellStyle name="Обычный 6 2 8 2 5 2 2 2 2" xfId="14378"/>
    <cellStyle name="Обычный 6 2 8 2 5 2 2 3" xfId="14379"/>
    <cellStyle name="Обычный 6 2 8 2 5 2 3" xfId="7984"/>
    <cellStyle name="Обычный 6 2 8 2 5 2 3 2" xfId="14380"/>
    <cellStyle name="Обычный 6 2 8 2 5 2 4" xfId="14381"/>
    <cellStyle name="Обычный 6 2 8 2 5 3" xfId="3894"/>
    <cellStyle name="Обычный 6 2 8 2 5 3 2" xfId="9012"/>
    <cellStyle name="Обычный 6 2 8 2 5 3 2 2" xfId="14382"/>
    <cellStyle name="Обычный 6 2 8 2 5 3 3" xfId="14383"/>
    <cellStyle name="Обычный 6 2 8 2 5 4" xfId="6956"/>
    <cellStyle name="Обычный 6 2 8 2 5 4 2" xfId="14384"/>
    <cellStyle name="Обычный 6 2 8 2 5 5" xfId="14385"/>
    <cellStyle name="Обычный 6 2 8 2 6" xfId="1449"/>
    <cellStyle name="Обычный 6 2 8 2 6 2" xfId="2555"/>
    <cellStyle name="Обычный 6 2 8 2 6 2 2" xfId="5093"/>
    <cellStyle name="Обычный 6 2 8 2 6 2 2 2" xfId="10211"/>
    <cellStyle name="Обычный 6 2 8 2 6 2 2 2 2" xfId="14386"/>
    <cellStyle name="Обычный 6 2 8 2 6 2 2 3" xfId="14387"/>
    <cellStyle name="Обычный 6 2 8 2 6 2 3" xfId="8155"/>
    <cellStyle name="Обычный 6 2 8 2 6 2 3 2" xfId="14388"/>
    <cellStyle name="Обычный 6 2 8 2 6 2 4" xfId="14389"/>
    <cellStyle name="Обычный 6 2 8 2 6 3" xfId="4065"/>
    <cellStyle name="Обычный 6 2 8 2 6 3 2" xfId="9183"/>
    <cellStyle name="Обычный 6 2 8 2 6 3 2 2" xfId="14390"/>
    <cellStyle name="Обычный 6 2 8 2 6 3 3" xfId="14391"/>
    <cellStyle name="Обычный 6 2 8 2 6 4" xfId="7127"/>
    <cellStyle name="Обычный 6 2 8 2 6 4 2" xfId="14392"/>
    <cellStyle name="Обычный 6 2 8 2 6 5" xfId="14393"/>
    <cellStyle name="Обычный 6 2 8 2 7" xfId="1620"/>
    <cellStyle name="Обычный 6 2 8 2 7 2" xfId="2726"/>
    <cellStyle name="Обычный 6 2 8 2 7 2 2" xfId="5264"/>
    <cellStyle name="Обычный 6 2 8 2 7 2 2 2" xfId="10382"/>
    <cellStyle name="Обычный 6 2 8 2 7 2 2 2 2" xfId="14394"/>
    <cellStyle name="Обычный 6 2 8 2 7 2 2 3" xfId="14395"/>
    <cellStyle name="Обычный 6 2 8 2 7 2 3" xfId="8326"/>
    <cellStyle name="Обычный 6 2 8 2 7 2 3 2" xfId="14396"/>
    <cellStyle name="Обычный 6 2 8 2 7 2 4" xfId="14397"/>
    <cellStyle name="Обычный 6 2 8 2 7 3" xfId="4236"/>
    <cellStyle name="Обычный 6 2 8 2 7 3 2" xfId="9354"/>
    <cellStyle name="Обычный 6 2 8 2 7 3 2 2" xfId="14398"/>
    <cellStyle name="Обычный 6 2 8 2 7 3 3" xfId="14399"/>
    <cellStyle name="Обычный 6 2 8 2 7 4" xfId="7298"/>
    <cellStyle name="Обычный 6 2 8 2 7 4 2" xfId="14400"/>
    <cellStyle name="Обычный 6 2 8 2 7 5" xfId="14401"/>
    <cellStyle name="Обычный 6 2 8 2 8" xfId="3038"/>
    <cellStyle name="Обычный 6 2 9" xfId="330"/>
    <cellStyle name="Обычный 6 2 9 2" xfId="331"/>
    <cellStyle name="Обычный 6 2 9 2 2" xfId="737"/>
    <cellStyle name="Обычный 6 2 9 2 2 2" xfId="1865"/>
    <cellStyle name="Обычный 6 2 9 2 2 2 2" xfId="4408"/>
    <cellStyle name="Обычный 6 2 9 2 2 2 2 2" xfId="9526"/>
    <cellStyle name="Обычный 6 2 9 2 2 2 2 2 2" xfId="14402"/>
    <cellStyle name="Обычный 6 2 9 2 2 2 2 3" xfId="14403"/>
    <cellStyle name="Обычный 6 2 9 2 2 2 3" xfId="7470"/>
    <cellStyle name="Обычный 6 2 9 2 2 2 3 2" xfId="14404"/>
    <cellStyle name="Обычный 6 2 9 2 2 2 4" xfId="14405"/>
    <cellStyle name="Обычный 6 2 9 2 2 3" xfId="3380"/>
    <cellStyle name="Обычный 6 2 9 2 2 3 2" xfId="8498"/>
    <cellStyle name="Обычный 6 2 9 2 2 3 2 2" xfId="14406"/>
    <cellStyle name="Обычный 6 2 9 2 2 3 3" xfId="14407"/>
    <cellStyle name="Обычный 6 2 9 2 2 4" xfId="6442"/>
    <cellStyle name="Обычный 6 2 9 2 2 4 2" xfId="14408"/>
    <cellStyle name="Обычный 6 2 9 2 2 5" xfId="14409"/>
    <cellStyle name="Обычный 6 2 9 2 3" xfId="924"/>
    <cellStyle name="Обычный 6 2 9 2 3 2" xfId="2043"/>
    <cellStyle name="Обычный 6 2 9 2 3 2 2" xfId="4581"/>
    <cellStyle name="Обычный 6 2 9 2 3 2 2 2" xfId="9699"/>
    <cellStyle name="Обычный 6 2 9 2 3 2 2 2 2" xfId="14410"/>
    <cellStyle name="Обычный 6 2 9 2 3 2 2 3" xfId="14411"/>
    <cellStyle name="Обычный 6 2 9 2 3 2 3" xfId="7643"/>
    <cellStyle name="Обычный 6 2 9 2 3 2 3 2" xfId="14412"/>
    <cellStyle name="Обычный 6 2 9 2 3 2 4" xfId="14413"/>
    <cellStyle name="Обычный 6 2 9 2 3 3" xfId="3553"/>
    <cellStyle name="Обычный 6 2 9 2 3 3 2" xfId="8671"/>
    <cellStyle name="Обычный 6 2 9 2 3 3 2 2" xfId="14414"/>
    <cellStyle name="Обычный 6 2 9 2 3 3 3" xfId="14415"/>
    <cellStyle name="Обычный 6 2 9 2 3 4" xfId="6615"/>
    <cellStyle name="Обычный 6 2 9 2 3 4 2" xfId="14416"/>
    <cellStyle name="Обычный 6 2 9 2 3 5" xfId="14417"/>
    <cellStyle name="Обычный 6 2 9 2 4" xfId="1095"/>
    <cellStyle name="Обычный 6 2 9 2 4 2" xfId="2214"/>
    <cellStyle name="Обычный 6 2 9 2 4 2 2" xfId="4752"/>
    <cellStyle name="Обычный 6 2 9 2 4 2 2 2" xfId="9870"/>
    <cellStyle name="Обычный 6 2 9 2 4 2 2 2 2" xfId="14418"/>
    <cellStyle name="Обычный 6 2 9 2 4 2 2 3" xfId="14419"/>
    <cellStyle name="Обычный 6 2 9 2 4 2 3" xfId="7814"/>
    <cellStyle name="Обычный 6 2 9 2 4 2 3 2" xfId="14420"/>
    <cellStyle name="Обычный 6 2 9 2 4 2 4" xfId="14421"/>
    <cellStyle name="Обычный 6 2 9 2 4 3" xfId="3724"/>
    <cellStyle name="Обычный 6 2 9 2 4 3 2" xfId="8842"/>
    <cellStyle name="Обычный 6 2 9 2 4 3 2 2" xfId="14422"/>
    <cellStyle name="Обычный 6 2 9 2 4 3 3" xfId="14423"/>
    <cellStyle name="Обычный 6 2 9 2 4 4" xfId="6786"/>
    <cellStyle name="Обычный 6 2 9 2 4 4 2" xfId="14424"/>
    <cellStyle name="Обычный 6 2 9 2 4 5" xfId="14425"/>
    <cellStyle name="Обычный 6 2 9 2 5" xfId="1276"/>
    <cellStyle name="Обычный 6 2 9 2 5 2" xfId="2385"/>
    <cellStyle name="Обычный 6 2 9 2 5 2 2" xfId="4923"/>
    <cellStyle name="Обычный 6 2 9 2 5 2 2 2" xfId="10041"/>
    <cellStyle name="Обычный 6 2 9 2 5 2 2 2 2" xfId="14426"/>
    <cellStyle name="Обычный 6 2 9 2 5 2 2 3" xfId="14427"/>
    <cellStyle name="Обычный 6 2 9 2 5 2 3" xfId="7985"/>
    <cellStyle name="Обычный 6 2 9 2 5 2 3 2" xfId="14428"/>
    <cellStyle name="Обычный 6 2 9 2 5 2 4" xfId="14429"/>
    <cellStyle name="Обычный 6 2 9 2 5 3" xfId="3895"/>
    <cellStyle name="Обычный 6 2 9 2 5 3 2" xfId="9013"/>
    <cellStyle name="Обычный 6 2 9 2 5 3 2 2" xfId="14430"/>
    <cellStyle name="Обычный 6 2 9 2 5 3 3" xfId="14431"/>
    <cellStyle name="Обычный 6 2 9 2 5 4" xfId="6957"/>
    <cellStyle name="Обычный 6 2 9 2 5 4 2" xfId="14432"/>
    <cellStyle name="Обычный 6 2 9 2 5 5" xfId="14433"/>
    <cellStyle name="Обычный 6 2 9 2 6" xfId="1450"/>
    <cellStyle name="Обычный 6 2 9 2 6 2" xfId="2556"/>
    <cellStyle name="Обычный 6 2 9 2 6 2 2" xfId="5094"/>
    <cellStyle name="Обычный 6 2 9 2 6 2 2 2" xfId="10212"/>
    <cellStyle name="Обычный 6 2 9 2 6 2 2 2 2" xfId="14434"/>
    <cellStyle name="Обычный 6 2 9 2 6 2 2 3" xfId="14435"/>
    <cellStyle name="Обычный 6 2 9 2 6 2 3" xfId="8156"/>
    <cellStyle name="Обычный 6 2 9 2 6 2 3 2" xfId="14436"/>
    <cellStyle name="Обычный 6 2 9 2 6 2 4" xfId="14437"/>
    <cellStyle name="Обычный 6 2 9 2 6 3" xfId="4066"/>
    <cellStyle name="Обычный 6 2 9 2 6 3 2" xfId="9184"/>
    <cellStyle name="Обычный 6 2 9 2 6 3 2 2" xfId="14438"/>
    <cellStyle name="Обычный 6 2 9 2 6 3 3" xfId="14439"/>
    <cellStyle name="Обычный 6 2 9 2 6 4" xfId="7128"/>
    <cellStyle name="Обычный 6 2 9 2 6 4 2" xfId="14440"/>
    <cellStyle name="Обычный 6 2 9 2 6 5" xfId="14441"/>
    <cellStyle name="Обычный 6 2 9 2 7" xfId="1621"/>
    <cellStyle name="Обычный 6 2 9 2 7 2" xfId="2727"/>
    <cellStyle name="Обычный 6 2 9 2 7 2 2" xfId="5265"/>
    <cellStyle name="Обычный 6 2 9 2 7 2 2 2" xfId="10383"/>
    <cellStyle name="Обычный 6 2 9 2 7 2 2 2 2" xfId="14442"/>
    <cellStyle name="Обычный 6 2 9 2 7 2 2 3" xfId="14443"/>
    <cellStyle name="Обычный 6 2 9 2 7 2 3" xfId="8327"/>
    <cellStyle name="Обычный 6 2 9 2 7 2 3 2" xfId="14444"/>
    <cellStyle name="Обычный 6 2 9 2 7 2 4" xfId="14445"/>
    <cellStyle name="Обычный 6 2 9 2 7 3" xfId="4237"/>
    <cellStyle name="Обычный 6 2 9 2 7 3 2" xfId="9355"/>
    <cellStyle name="Обычный 6 2 9 2 7 3 2 2" xfId="14446"/>
    <cellStyle name="Обычный 6 2 9 2 7 3 3" xfId="14447"/>
    <cellStyle name="Обычный 6 2 9 2 7 4" xfId="7299"/>
    <cellStyle name="Обычный 6 2 9 2 7 4 2" xfId="14448"/>
    <cellStyle name="Обычный 6 2 9 2 7 5" xfId="14449"/>
    <cellStyle name="Обычный 6 2 9 2 8" xfId="3039"/>
    <cellStyle name="Обычный 6 3" xfId="332"/>
    <cellStyle name="Обычный 6 3 2" xfId="333"/>
    <cellStyle name="Обычный 6 3 2 2" xfId="334"/>
    <cellStyle name="Обычный 6 3 2 2 2" xfId="335"/>
    <cellStyle name="Обычный 6 3 2 2 2 2" xfId="738"/>
    <cellStyle name="Обычный 6 3 2 2 2 2 2" xfId="1866"/>
    <cellStyle name="Обычный 6 3 2 2 2 2 2 2" xfId="4409"/>
    <cellStyle name="Обычный 6 3 2 2 2 2 2 2 2" xfId="9527"/>
    <cellStyle name="Обычный 6 3 2 2 2 2 2 2 2 2" xfId="14450"/>
    <cellStyle name="Обычный 6 3 2 2 2 2 2 2 3" xfId="14451"/>
    <cellStyle name="Обычный 6 3 2 2 2 2 2 3" xfId="7471"/>
    <cellStyle name="Обычный 6 3 2 2 2 2 2 3 2" xfId="14452"/>
    <cellStyle name="Обычный 6 3 2 2 2 2 2 4" xfId="14453"/>
    <cellStyle name="Обычный 6 3 2 2 2 2 3" xfId="3381"/>
    <cellStyle name="Обычный 6 3 2 2 2 2 3 2" xfId="8499"/>
    <cellStyle name="Обычный 6 3 2 2 2 2 3 2 2" xfId="14454"/>
    <cellStyle name="Обычный 6 3 2 2 2 2 3 3" xfId="14455"/>
    <cellStyle name="Обычный 6 3 2 2 2 2 4" xfId="6443"/>
    <cellStyle name="Обычный 6 3 2 2 2 2 4 2" xfId="14456"/>
    <cellStyle name="Обычный 6 3 2 2 2 2 5" xfId="14457"/>
    <cellStyle name="Обычный 6 3 2 2 2 3" xfId="925"/>
    <cellStyle name="Обычный 6 3 2 2 2 3 2" xfId="2044"/>
    <cellStyle name="Обычный 6 3 2 2 2 3 2 2" xfId="4582"/>
    <cellStyle name="Обычный 6 3 2 2 2 3 2 2 2" xfId="9700"/>
    <cellStyle name="Обычный 6 3 2 2 2 3 2 2 2 2" xfId="14458"/>
    <cellStyle name="Обычный 6 3 2 2 2 3 2 2 3" xfId="14459"/>
    <cellStyle name="Обычный 6 3 2 2 2 3 2 3" xfId="7644"/>
    <cellStyle name="Обычный 6 3 2 2 2 3 2 3 2" xfId="14460"/>
    <cellStyle name="Обычный 6 3 2 2 2 3 2 4" xfId="14461"/>
    <cellStyle name="Обычный 6 3 2 2 2 3 3" xfId="3554"/>
    <cellStyle name="Обычный 6 3 2 2 2 3 3 2" xfId="8672"/>
    <cellStyle name="Обычный 6 3 2 2 2 3 3 2 2" xfId="14462"/>
    <cellStyle name="Обычный 6 3 2 2 2 3 3 3" xfId="14463"/>
    <cellStyle name="Обычный 6 3 2 2 2 3 4" xfId="6616"/>
    <cellStyle name="Обычный 6 3 2 2 2 3 4 2" xfId="14464"/>
    <cellStyle name="Обычный 6 3 2 2 2 3 5" xfId="14465"/>
    <cellStyle name="Обычный 6 3 2 2 2 4" xfId="1096"/>
    <cellStyle name="Обычный 6 3 2 2 2 4 2" xfId="2215"/>
    <cellStyle name="Обычный 6 3 2 2 2 4 2 2" xfId="4753"/>
    <cellStyle name="Обычный 6 3 2 2 2 4 2 2 2" xfId="9871"/>
    <cellStyle name="Обычный 6 3 2 2 2 4 2 2 2 2" xfId="14466"/>
    <cellStyle name="Обычный 6 3 2 2 2 4 2 2 3" xfId="14467"/>
    <cellStyle name="Обычный 6 3 2 2 2 4 2 3" xfId="7815"/>
    <cellStyle name="Обычный 6 3 2 2 2 4 2 3 2" xfId="14468"/>
    <cellStyle name="Обычный 6 3 2 2 2 4 2 4" xfId="14469"/>
    <cellStyle name="Обычный 6 3 2 2 2 4 3" xfId="3725"/>
    <cellStyle name="Обычный 6 3 2 2 2 4 3 2" xfId="8843"/>
    <cellStyle name="Обычный 6 3 2 2 2 4 3 2 2" xfId="14470"/>
    <cellStyle name="Обычный 6 3 2 2 2 4 3 3" xfId="14471"/>
    <cellStyle name="Обычный 6 3 2 2 2 4 4" xfId="6787"/>
    <cellStyle name="Обычный 6 3 2 2 2 4 4 2" xfId="14472"/>
    <cellStyle name="Обычный 6 3 2 2 2 4 5" xfId="14473"/>
    <cellStyle name="Обычный 6 3 2 2 2 5" xfId="1277"/>
    <cellStyle name="Обычный 6 3 2 2 2 5 2" xfId="2386"/>
    <cellStyle name="Обычный 6 3 2 2 2 5 2 2" xfId="4924"/>
    <cellStyle name="Обычный 6 3 2 2 2 5 2 2 2" xfId="10042"/>
    <cellStyle name="Обычный 6 3 2 2 2 5 2 2 2 2" xfId="14474"/>
    <cellStyle name="Обычный 6 3 2 2 2 5 2 2 3" xfId="14475"/>
    <cellStyle name="Обычный 6 3 2 2 2 5 2 3" xfId="7986"/>
    <cellStyle name="Обычный 6 3 2 2 2 5 2 3 2" xfId="14476"/>
    <cellStyle name="Обычный 6 3 2 2 2 5 2 4" xfId="14477"/>
    <cellStyle name="Обычный 6 3 2 2 2 5 3" xfId="3896"/>
    <cellStyle name="Обычный 6 3 2 2 2 5 3 2" xfId="9014"/>
    <cellStyle name="Обычный 6 3 2 2 2 5 3 2 2" xfId="14478"/>
    <cellStyle name="Обычный 6 3 2 2 2 5 3 3" xfId="14479"/>
    <cellStyle name="Обычный 6 3 2 2 2 5 4" xfId="6958"/>
    <cellStyle name="Обычный 6 3 2 2 2 5 4 2" xfId="14480"/>
    <cellStyle name="Обычный 6 3 2 2 2 5 5" xfId="14481"/>
    <cellStyle name="Обычный 6 3 2 2 2 6" xfId="1451"/>
    <cellStyle name="Обычный 6 3 2 2 2 6 2" xfId="2557"/>
    <cellStyle name="Обычный 6 3 2 2 2 6 2 2" xfId="5095"/>
    <cellStyle name="Обычный 6 3 2 2 2 6 2 2 2" xfId="10213"/>
    <cellStyle name="Обычный 6 3 2 2 2 6 2 2 2 2" xfId="14482"/>
    <cellStyle name="Обычный 6 3 2 2 2 6 2 2 3" xfId="14483"/>
    <cellStyle name="Обычный 6 3 2 2 2 6 2 3" xfId="8157"/>
    <cellStyle name="Обычный 6 3 2 2 2 6 2 3 2" xfId="14484"/>
    <cellStyle name="Обычный 6 3 2 2 2 6 2 4" xfId="14485"/>
    <cellStyle name="Обычный 6 3 2 2 2 6 3" xfId="4067"/>
    <cellStyle name="Обычный 6 3 2 2 2 6 3 2" xfId="9185"/>
    <cellStyle name="Обычный 6 3 2 2 2 6 3 2 2" xfId="14486"/>
    <cellStyle name="Обычный 6 3 2 2 2 6 3 3" xfId="14487"/>
    <cellStyle name="Обычный 6 3 2 2 2 6 4" xfId="7129"/>
    <cellStyle name="Обычный 6 3 2 2 2 6 4 2" xfId="14488"/>
    <cellStyle name="Обычный 6 3 2 2 2 6 5" xfId="14489"/>
    <cellStyle name="Обычный 6 3 2 2 2 7" xfId="1622"/>
    <cellStyle name="Обычный 6 3 2 2 2 7 2" xfId="2728"/>
    <cellStyle name="Обычный 6 3 2 2 2 7 2 2" xfId="5266"/>
    <cellStyle name="Обычный 6 3 2 2 2 7 2 2 2" xfId="10384"/>
    <cellStyle name="Обычный 6 3 2 2 2 7 2 2 2 2" xfId="14490"/>
    <cellStyle name="Обычный 6 3 2 2 2 7 2 2 3" xfId="14491"/>
    <cellStyle name="Обычный 6 3 2 2 2 7 2 3" xfId="8328"/>
    <cellStyle name="Обычный 6 3 2 2 2 7 2 3 2" xfId="14492"/>
    <cellStyle name="Обычный 6 3 2 2 2 7 2 4" xfId="14493"/>
    <cellStyle name="Обычный 6 3 2 2 2 7 3" xfId="4238"/>
    <cellStyle name="Обычный 6 3 2 2 2 7 3 2" xfId="9356"/>
    <cellStyle name="Обычный 6 3 2 2 2 7 3 2 2" xfId="14494"/>
    <cellStyle name="Обычный 6 3 2 2 2 7 3 3" xfId="14495"/>
    <cellStyle name="Обычный 6 3 2 2 2 7 4" xfId="7300"/>
    <cellStyle name="Обычный 6 3 2 2 2 7 4 2" xfId="14496"/>
    <cellStyle name="Обычный 6 3 2 2 2 7 5" xfId="14497"/>
    <cellStyle name="Обычный 6 3 2 2 2 8" xfId="3040"/>
    <cellStyle name="Обычный 6 3 2 3" xfId="336"/>
    <cellStyle name="Обычный 6 3 2 3 2" xfId="337"/>
    <cellStyle name="Обычный 6 3 2 3 2 2" xfId="739"/>
    <cellStyle name="Обычный 6 3 2 3 2 2 2" xfId="1867"/>
    <cellStyle name="Обычный 6 3 2 3 2 2 2 2" xfId="4410"/>
    <cellStyle name="Обычный 6 3 2 3 2 2 2 2 2" xfId="9528"/>
    <cellStyle name="Обычный 6 3 2 3 2 2 2 2 2 2" xfId="14498"/>
    <cellStyle name="Обычный 6 3 2 3 2 2 2 2 3" xfId="14499"/>
    <cellStyle name="Обычный 6 3 2 3 2 2 2 3" xfId="7472"/>
    <cellStyle name="Обычный 6 3 2 3 2 2 2 3 2" xfId="14500"/>
    <cellStyle name="Обычный 6 3 2 3 2 2 2 4" xfId="14501"/>
    <cellStyle name="Обычный 6 3 2 3 2 2 3" xfId="3382"/>
    <cellStyle name="Обычный 6 3 2 3 2 2 3 2" xfId="8500"/>
    <cellStyle name="Обычный 6 3 2 3 2 2 3 2 2" xfId="14502"/>
    <cellStyle name="Обычный 6 3 2 3 2 2 3 3" xfId="14503"/>
    <cellStyle name="Обычный 6 3 2 3 2 2 4" xfId="6444"/>
    <cellStyle name="Обычный 6 3 2 3 2 2 4 2" xfId="14504"/>
    <cellStyle name="Обычный 6 3 2 3 2 2 5" xfId="14505"/>
    <cellStyle name="Обычный 6 3 2 3 2 3" xfId="926"/>
    <cellStyle name="Обычный 6 3 2 3 2 3 2" xfId="2045"/>
    <cellStyle name="Обычный 6 3 2 3 2 3 2 2" xfId="4583"/>
    <cellStyle name="Обычный 6 3 2 3 2 3 2 2 2" xfId="9701"/>
    <cellStyle name="Обычный 6 3 2 3 2 3 2 2 2 2" xfId="14506"/>
    <cellStyle name="Обычный 6 3 2 3 2 3 2 2 3" xfId="14507"/>
    <cellStyle name="Обычный 6 3 2 3 2 3 2 3" xfId="7645"/>
    <cellStyle name="Обычный 6 3 2 3 2 3 2 3 2" xfId="14508"/>
    <cellStyle name="Обычный 6 3 2 3 2 3 2 4" xfId="14509"/>
    <cellStyle name="Обычный 6 3 2 3 2 3 3" xfId="3555"/>
    <cellStyle name="Обычный 6 3 2 3 2 3 3 2" xfId="8673"/>
    <cellStyle name="Обычный 6 3 2 3 2 3 3 2 2" xfId="14510"/>
    <cellStyle name="Обычный 6 3 2 3 2 3 3 3" xfId="14511"/>
    <cellStyle name="Обычный 6 3 2 3 2 3 4" xfId="6617"/>
    <cellStyle name="Обычный 6 3 2 3 2 3 4 2" xfId="14512"/>
    <cellStyle name="Обычный 6 3 2 3 2 3 5" xfId="14513"/>
    <cellStyle name="Обычный 6 3 2 3 2 4" xfId="1097"/>
    <cellStyle name="Обычный 6 3 2 3 2 4 2" xfId="2216"/>
    <cellStyle name="Обычный 6 3 2 3 2 4 2 2" xfId="4754"/>
    <cellStyle name="Обычный 6 3 2 3 2 4 2 2 2" xfId="9872"/>
    <cellStyle name="Обычный 6 3 2 3 2 4 2 2 2 2" xfId="14514"/>
    <cellStyle name="Обычный 6 3 2 3 2 4 2 2 3" xfId="14515"/>
    <cellStyle name="Обычный 6 3 2 3 2 4 2 3" xfId="7816"/>
    <cellStyle name="Обычный 6 3 2 3 2 4 2 3 2" xfId="14516"/>
    <cellStyle name="Обычный 6 3 2 3 2 4 2 4" xfId="14517"/>
    <cellStyle name="Обычный 6 3 2 3 2 4 3" xfId="3726"/>
    <cellStyle name="Обычный 6 3 2 3 2 4 3 2" xfId="8844"/>
    <cellStyle name="Обычный 6 3 2 3 2 4 3 2 2" xfId="14518"/>
    <cellStyle name="Обычный 6 3 2 3 2 4 3 3" xfId="14519"/>
    <cellStyle name="Обычный 6 3 2 3 2 4 4" xfId="6788"/>
    <cellStyle name="Обычный 6 3 2 3 2 4 4 2" xfId="14520"/>
    <cellStyle name="Обычный 6 3 2 3 2 4 5" xfId="14521"/>
    <cellStyle name="Обычный 6 3 2 3 2 5" xfId="1278"/>
    <cellStyle name="Обычный 6 3 2 3 2 5 2" xfId="2387"/>
    <cellStyle name="Обычный 6 3 2 3 2 5 2 2" xfId="4925"/>
    <cellStyle name="Обычный 6 3 2 3 2 5 2 2 2" xfId="10043"/>
    <cellStyle name="Обычный 6 3 2 3 2 5 2 2 2 2" xfId="14522"/>
    <cellStyle name="Обычный 6 3 2 3 2 5 2 2 3" xfId="14523"/>
    <cellStyle name="Обычный 6 3 2 3 2 5 2 3" xfId="7987"/>
    <cellStyle name="Обычный 6 3 2 3 2 5 2 3 2" xfId="14524"/>
    <cellStyle name="Обычный 6 3 2 3 2 5 2 4" xfId="14525"/>
    <cellStyle name="Обычный 6 3 2 3 2 5 3" xfId="3897"/>
    <cellStyle name="Обычный 6 3 2 3 2 5 3 2" xfId="9015"/>
    <cellStyle name="Обычный 6 3 2 3 2 5 3 2 2" xfId="14526"/>
    <cellStyle name="Обычный 6 3 2 3 2 5 3 3" xfId="14527"/>
    <cellStyle name="Обычный 6 3 2 3 2 5 4" xfId="6959"/>
    <cellStyle name="Обычный 6 3 2 3 2 5 4 2" xfId="14528"/>
    <cellStyle name="Обычный 6 3 2 3 2 5 5" xfId="14529"/>
    <cellStyle name="Обычный 6 3 2 3 2 6" xfId="1452"/>
    <cellStyle name="Обычный 6 3 2 3 2 6 2" xfId="2558"/>
    <cellStyle name="Обычный 6 3 2 3 2 6 2 2" xfId="5096"/>
    <cellStyle name="Обычный 6 3 2 3 2 6 2 2 2" xfId="10214"/>
    <cellStyle name="Обычный 6 3 2 3 2 6 2 2 2 2" xfId="14530"/>
    <cellStyle name="Обычный 6 3 2 3 2 6 2 2 3" xfId="14531"/>
    <cellStyle name="Обычный 6 3 2 3 2 6 2 3" xfId="8158"/>
    <cellStyle name="Обычный 6 3 2 3 2 6 2 3 2" xfId="14532"/>
    <cellStyle name="Обычный 6 3 2 3 2 6 2 4" xfId="14533"/>
    <cellStyle name="Обычный 6 3 2 3 2 6 3" xfId="4068"/>
    <cellStyle name="Обычный 6 3 2 3 2 6 3 2" xfId="9186"/>
    <cellStyle name="Обычный 6 3 2 3 2 6 3 2 2" xfId="14534"/>
    <cellStyle name="Обычный 6 3 2 3 2 6 3 3" xfId="14535"/>
    <cellStyle name="Обычный 6 3 2 3 2 6 4" xfId="7130"/>
    <cellStyle name="Обычный 6 3 2 3 2 6 4 2" xfId="14536"/>
    <cellStyle name="Обычный 6 3 2 3 2 6 5" xfId="14537"/>
    <cellStyle name="Обычный 6 3 2 3 2 7" xfId="1623"/>
    <cellStyle name="Обычный 6 3 2 3 2 7 2" xfId="2729"/>
    <cellStyle name="Обычный 6 3 2 3 2 7 2 2" xfId="5267"/>
    <cellStyle name="Обычный 6 3 2 3 2 7 2 2 2" xfId="10385"/>
    <cellStyle name="Обычный 6 3 2 3 2 7 2 2 2 2" xfId="14538"/>
    <cellStyle name="Обычный 6 3 2 3 2 7 2 2 3" xfId="14539"/>
    <cellStyle name="Обычный 6 3 2 3 2 7 2 3" xfId="8329"/>
    <cellStyle name="Обычный 6 3 2 3 2 7 2 3 2" xfId="14540"/>
    <cellStyle name="Обычный 6 3 2 3 2 7 2 4" xfId="14541"/>
    <cellStyle name="Обычный 6 3 2 3 2 7 3" xfId="4239"/>
    <cellStyle name="Обычный 6 3 2 3 2 7 3 2" xfId="9357"/>
    <cellStyle name="Обычный 6 3 2 3 2 7 3 2 2" xfId="14542"/>
    <cellStyle name="Обычный 6 3 2 3 2 7 3 3" xfId="14543"/>
    <cellStyle name="Обычный 6 3 2 3 2 7 4" xfId="7301"/>
    <cellStyle name="Обычный 6 3 2 3 2 7 4 2" xfId="14544"/>
    <cellStyle name="Обычный 6 3 2 3 2 7 5" xfId="14545"/>
    <cellStyle name="Обычный 6 3 2 3 2 8" xfId="3041"/>
    <cellStyle name="Обычный 6 3 2 4" xfId="338"/>
    <cellStyle name="Обычный 6 3 2 4 2" xfId="740"/>
    <cellStyle name="Обычный 6 3 2 4 2 2" xfId="1868"/>
    <cellStyle name="Обычный 6 3 2 4 2 2 2" xfId="4411"/>
    <cellStyle name="Обычный 6 3 2 4 2 2 2 2" xfId="9529"/>
    <cellStyle name="Обычный 6 3 2 4 2 2 2 2 2" xfId="14546"/>
    <cellStyle name="Обычный 6 3 2 4 2 2 2 3" xfId="14547"/>
    <cellStyle name="Обычный 6 3 2 4 2 2 3" xfId="7473"/>
    <cellStyle name="Обычный 6 3 2 4 2 2 3 2" xfId="14548"/>
    <cellStyle name="Обычный 6 3 2 4 2 2 4" xfId="14549"/>
    <cellStyle name="Обычный 6 3 2 4 2 3" xfId="3383"/>
    <cellStyle name="Обычный 6 3 2 4 2 3 2" xfId="8501"/>
    <cellStyle name="Обычный 6 3 2 4 2 3 2 2" xfId="14550"/>
    <cellStyle name="Обычный 6 3 2 4 2 3 3" xfId="14551"/>
    <cellStyle name="Обычный 6 3 2 4 2 4" xfId="6445"/>
    <cellStyle name="Обычный 6 3 2 4 2 4 2" xfId="14552"/>
    <cellStyle name="Обычный 6 3 2 4 2 5" xfId="14553"/>
    <cellStyle name="Обычный 6 3 2 4 3" xfId="927"/>
    <cellStyle name="Обычный 6 3 2 4 3 2" xfId="2046"/>
    <cellStyle name="Обычный 6 3 2 4 3 2 2" xfId="4584"/>
    <cellStyle name="Обычный 6 3 2 4 3 2 2 2" xfId="9702"/>
    <cellStyle name="Обычный 6 3 2 4 3 2 2 2 2" xfId="14554"/>
    <cellStyle name="Обычный 6 3 2 4 3 2 2 3" xfId="14555"/>
    <cellStyle name="Обычный 6 3 2 4 3 2 3" xfId="7646"/>
    <cellStyle name="Обычный 6 3 2 4 3 2 3 2" xfId="14556"/>
    <cellStyle name="Обычный 6 3 2 4 3 2 4" xfId="14557"/>
    <cellStyle name="Обычный 6 3 2 4 3 3" xfId="3556"/>
    <cellStyle name="Обычный 6 3 2 4 3 3 2" xfId="8674"/>
    <cellStyle name="Обычный 6 3 2 4 3 3 2 2" xfId="14558"/>
    <cellStyle name="Обычный 6 3 2 4 3 3 3" xfId="14559"/>
    <cellStyle name="Обычный 6 3 2 4 3 4" xfId="6618"/>
    <cellStyle name="Обычный 6 3 2 4 3 4 2" xfId="14560"/>
    <cellStyle name="Обычный 6 3 2 4 3 5" xfId="14561"/>
    <cellStyle name="Обычный 6 3 2 4 4" xfId="1098"/>
    <cellStyle name="Обычный 6 3 2 4 4 2" xfId="2217"/>
    <cellStyle name="Обычный 6 3 2 4 4 2 2" xfId="4755"/>
    <cellStyle name="Обычный 6 3 2 4 4 2 2 2" xfId="9873"/>
    <cellStyle name="Обычный 6 3 2 4 4 2 2 2 2" xfId="14562"/>
    <cellStyle name="Обычный 6 3 2 4 4 2 2 3" xfId="14563"/>
    <cellStyle name="Обычный 6 3 2 4 4 2 3" xfId="7817"/>
    <cellStyle name="Обычный 6 3 2 4 4 2 3 2" xfId="14564"/>
    <cellStyle name="Обычный 6 3 2 4 4 2 4" xfId="14565"/>
    <cellStyle name="Обычный 6 3 2 4 4 3" xfId="3727"/>
    <cellStyle name="Обычный 6 3 2 4 4 3 2" xfId="8845"/>
    <cellStyle name="Обычный 6 3 2 4 4 3 2 2" xfId="14566"/>
    <cellStyle name="Обычный 6 3 2 4 4 3 3" xfId="14567"/>
    <cellStyle name="Обычный 6 3 2 4 4 4" xfId="6789"/>
    <cellStyle name="Обычный 6 3 2 4 4 4 2" xfId="14568"/>
    <cellStyle name="Обычный 6 3 2 4 4 5" xfId="14569"/>
    <cellStyle name="Обычный 6 3 2 4 5" xfId="1279"/>
    <cellStyle name="Обычный 6 3 2 4 5 2" xfId="2388"/>
    <cellStyle name="Обычный 6 3 2 4 5 2 2" xfId="4926"/>
    <cellStyle name="Обычный 6 3 2 4 5 2 2 2" xfId="10044"/>
    <cellStyle name="Обычный 6 3 2 4 5 2 2 2 2" xfId="14570"/>
    <cellStyle name="Обычный 6 3 2 4 5 2 2 3" xfId="14571"/>
    <cellStyle name="Обычный 6 3 2 4 5 2 3" xfId="7988"/>
    <cellStyle name="Обычный 6 3 2 4 5 2 3 2" xfId="14572"/>
    <cellStyle name="Обычный 6 3 2 4 5 2 4" xfId="14573"/>
    <cellStyle name="Обычный 6 3 2 4 5 3" xfId="3898"/>
    <cellStyle name="Обычный 6 3 2 4 5 3 2" xfId="9016"/>
    <cellStyle name="Обычный 6 3 2 4 5 3 2 2" xfId="14574"/>
    <cellStyle name="Обычный 6 3 2 4 5 3 3" xfId="14575"/>
    <cellStyle name="Обычный 6 3 2 4 5 4" xfId="6960"/>
    <cellStyle name="Обычный 6 3 2 4 5 4 2" xfId="14576"/>
    <cellStyle name="Обычный 6 3 2 4 5 5" xfId="14577"/>
    <cellStyle name="Обычный 6 3 2 4 6" xfId="1453"/>
    <cellStyle name="Обычный 6 3 2 4 6 2" xfId="2559"/>
    <cellStyle name="Обычный 6 3 2 4 6 2 2" xfId="5097"/>
    <cellStyle name="Обычный 6 3 2 4 6 2 2 2" xfId="10215"/>
    <cellStyle name="Обычный 6 3 2 4 6 2 2 2 2" xfId="14578"/>
    <cellStyle name="Обычный 6 3 2 4 6 2 2 3" xfId="14579"/>
    <cellStyle name="Обычный 6 3 2 4 6 2 3" xfId="8159"/>
    <cellStyle name="Обычный 6 3 2 4 6 2 3 2" xfId="14580"/>
    <cellStyle name="Обычный 6 3 2 4 6 2 4" xfId="14581"/>
    <cellStyle name="Обычный 6 3 2 4 6 3" xfId="4069"/>
    <cellStyle name="Обычный 6 3 2 4 6 3 2" xfId="9187"/>
    <cellStyle name="Обычный 6 3 2 4 6 3 2 2" xfId="14582"/>
    <cellStyle name="Обычный 6 3 2 4 6 3 3" xfId="14583"/>
    <cellStyle name="Обычный 6 3 2 4 6 4" xfId="7131"/>
    <cellStyle name="Обычный 6 3 2 4 6 4 2" xfId="14584"/>
    <cellStyle name="Обычный 6 3 2 4 6 5" xfId="14585"/>
    <cellStyle name="Обычный 6 3 2 4 7" xfId="1624"/>
    <cellStyle name="Обычный 6 3 2 4 7 2" xfId="2730"/>
    <cellStyle name="Обычный 6 3 2 4 7 2 2" xfId="5268"/>
    <cellStyle name="Обычный 6 3 2 4 7 2 2 2" xfId="10386"/>
    <cellStyle name="Обычный 6 3 2 4 7 2 2 2 2" xfId="14586"/>
    <cellStyle name="Обычный 6 3 2 4 7 2 2 3" xfId="14587"/>
    <cellStyle name="Обычный 6 3 2 4 7 2 3" xfId="8330"/>
    <cellStyle name="Обычный 6 3 2 4 7 2 3 2" xfId="14588"/>
    <cellStyle name="Обычный 6 3 2 4 7 2 4" xfId="14589"/>
    <cellStyle name="Обычный 6 3 2 4 7 3" xfId="4240"/>
    <cellStyle name="Обычный 6 3 2 4 7 3 2" xfId="9358"/>
    <cellStyle name="Обычный 6 3 2 4 7 3 2 2" xfId="14590"/>
    <cellStyle name="Обычный 6 3 2 4 7 3 3" xfId="14591"/>
    <cellStyle name="Обычный 6 3 2 4 7 4" xfId="7302"/>
    <cellStyle name="Обычный 6 3 2 4 7 4 2" xfId="14592"/>
    <cellStyle name="Обычный 6 3 2 4 7 5" xfId="14593"/>
    <cellStyle name="Обычный 6 3 2 4 8" xfId="3042"/>
    <cellStyle name="Обычный 6 3 3" xfId="339"/>
    <cellStyle name="Обычный 6 3 3 2" xfId="340"/>
    <cellStyle name="Обычный 6 3 3 2 2" xfId="741"/>
    <cellStyle name="Обычный 6 3 3 2 2 2" xfId="1869"/>
    <cellStyle name="Обычный 6 3 3 2 2 2 2" xfId="4412"/>
    <cellStyle name="Обычный 6 3 3 2 2 2 2 2" xfId="9530"/>
    <cellStyle name="Обычный 6 3 3 2 2 2 2 2 2" xfId="14594"/>
    <cellStyle name="Обычный 6 3 3 2 2 2 2 3" xfId="14595"/>
    <cellStyle name="Обычный 6 3 3 2 2 2 3" xfId="7474"/>
    <cellStyle name="Обычный 6 3 3 2 2 2 3 2" xfId="14596"/>
    <cellStyle name="Обычный 6 3 3 2 2 2 4" xfId="14597"/>
    <cellStyle name="Обычный 6 3 3 2 2 3" xfId="3384"/>
    <cellStyle name="Обычный 6 3 3 2 2 3 2" xfId="8502"/>
    <cellStyle name="Обычный 6 3 3 2 2 3 2 2" xfId="14598"/>
    <cellStyle name="Обычный 6 3 3 2 2 3 3" xfId="14599"/>
    <cellStyle name="Обычный 6 3 3 2 2 4" xfId="6446"/>
    <cellStyle name="Обычный 6 3 3 2 2 4 2" xfId="14600"/>
    <cellStyle name="Обычный 6 3 3 2 2 5" xfId="14601"/>
    <cellStyle name="Обычный 6 3 3 2 3" xfId="928"/>
    <cellStyle name="Обычный 6 3 3 2 3 2" xfId="2047"/>
    <cellStyle name="Обычный 6 3 3 2 3 2 2" xfId="4585"/>
    <cellStyle name="Обычный 6 3 3 2 3 2 2 2" xfId="9703"/>
    <cellStyle name="Обычный 6 3 3 2 3 2 2 2 2" xfId="14602"/>
    <cellStyle name="Обычный 6 3 3 2 3 2 2 3" xfId="14603"/>
    <cellStyle name="Обычный 6 3 3 2 3 2 3" xfId="7647"/>
    <cellStyle name="Обычный 6 3 3 2 3 2 3 2" xfId="14604"/>
    <cellStyle name="Обычный 6 3 3 2 3 2 4" xfId="14605"/>
    <cellStyle name="Обычный 6 3 3 2 3 3" xfId="3557"/>
    <cellStyle name="Обычный 6 3 3 2 3 3 2" xfId="8675"/>
    <cellStyle name="Обычный 6 3 3 2 3 3 2 2" xfId="14606"/>
    <cellStyle name="Обычный 6 3 3 2 3 3 3" xfId="14607"/>
    <cellStyle name="Обычный 6 3 3 2 3 4" xfId="6619"/>
    <cellStyle name="Обычный 6 3 3 2 3 4 2" xfId="14608"/>
    <cellStyle name="Обычный 6 3 3 2 3 5" xfId="14609"/>
    <cellStyle name="Обычный 6 3 3 2 4" xfId="1099"/>
    <cellStyle name="Обычный 6 3 3 2 4 2" xfId="2218"/>
    <cellStyle name="Обычный 6 3 3 2 4 2 2" xfId="4756"/>
    <cellStyle name="Обычный 6 3 3 2 4 2 2 2" xfId="9874"/>
    <cellStyle name="Обычный 6 3 3 2 4 2 2 2 2" xfId="14610"/>
    <cellStyle name="Обычный 6 3 3 2 4 2 2 3" xfId="14611"/>
    <cellStyle name="Обычный 6 3 3 2 4 2 3" xfId="7818"/>
    <cellStyle name="Обычный 6 3 3 2 4 2 3 2" xfId="14612"/>
    <cellStyle name="Обычный 6 3 3 2 4 2 4" xfId="14613"/>
    <cellStyle name="Обычный 6 3 3 2 4 3" xfId="3728"/>
    <cellStyle name="Обычный 6 3 3 2 4 3 2" xfId="8846"/>
    <cellStyle name="Обычный 6 3 3 2 4 3 2 2" xfId="14614"/>
    <cellStyle name="Обычный 6 3 3 2 4 3 3" xfId="14615"/>
    <cellStyle name="Обычный 6 3 3 2 4 4" xfId="6790"/>
    <cellStyle name="Обычный 6 3 3 2 4 4 2" xfId="14616"/>
    <cellStyle name="Обычный 6 3 3 2 4 5" xfId="14617"/>
    <cellStyle name="Обычный 6 3 3 2 5" xfId="1280"/>
    <cellStyle name="Обычный 6 3 3 2 5 2" xfId="2389"/>
    <cellStyle name="Обычный 6 3 3 2 5 2 2" xfId="4927"/>
    <cellStyle name="Обычный 6 3 3 2 5 2 2 2" xfId="10045"/>
    <cellStyle name="Обычный 6 3 3 2 5 2 2 2 2" xfId="14618"/>
    <cellStyle name="Обычный 6 3 3 2 5 2 2 3" xfId="14619"/>
    <cellStyle name="Обычный 6 3 3 2 5 2 3" xfId="7989"/>
    <cellStyle name="Обычный 6 3 3 2 5 2 3 2" xfId="14620"/>
    <cellStyle name="Обычный 6 3 3 2 5 2 4" xfId="14621"/>
    <cellStyle name="Обычный 6 3 3 2 5 3" xfId="3899"/>
    <cellStyle name="Обычный 6 3 3 2 5 3 2" xfId="9017"/>
    <cellStyle name="Обычный 6 3 3 2 5 3 2 2" xfId="14622"/>
    <cellStyle name="Обычный 6 3 3 2 5 3 3" xfId="14623"/>
    <cellStyle name="Обычный 6 3 3 2 5 4" xfId="6961"/>
    <cellStyle name="Обычный 6 3 3 2 5 4 2" xfId="14624"/>
    <cellStyle name="Обычный 6 3 3 2 5 5" xfId="14625"/>
    <cellStyle name="Обычный 6 3 3 2 6" xfId="1454"/>
    <cellStyle name="Обычный 6 3 3 2 6 2" xfId="2560"/>
    <cellStyle name="Обычный 6 3 3 2 6 2 2" xfId="5098"/>
    <cellStyle name="Обычный 6 3 3 2 6 2 2 2" xfId="10216"/>
    <cellStyle name="Обычный 6 3 3 2 6 2 2 2 2" xfId="14626"/>
    <cellStyle name="Обычный 6 3 3 2 6 2 2 3" xfId="14627"/>
    <cellStyle name="Обычный 6 3 3 2 6 2 3" xfId="8160"/>
    <cellStyle name="Обычный 6 3 3 2 6 2 3 2" xfId="14628"/>
    <cellStyle name="Обычный 6 3 3 2 6 2 4" xfId="14629"/>
    <cellStyle name="Обычный 6 3 3 2 6 3" xfId="4070"/>
    <cellStyle name="Обычный 6 3 3 2 6 3 2" xfId="9188"/>
    <cellStyle name="Обычный 6 3 3 2 6 3 2 2" xfId="14630"/>
    <cellStyle name="Обычный 6 3 3 2 6 3 3" xfId="14631"/>
    <cellStyle name="Обычный 6 3 3 2 6 4" xfId="7132"/>
    <cellStyle name="Обычный 6 3 3 2 6 4 2" xfId="14632"/>
    <cellStyle name="Обычный 6 3 3 2 6 5" xfId="14633"/>
    <cellStyle name="Обычный 6 3 3 2 7" xfId="1625"/>
    <cellStyle name="Обычный 6 3 3 2 7 2" xfId="2731"/>
    <cellStyle name="Обычный 6 3 3 2 7 2 2" xfId="5269"/>
    <cellStyle name="Обычный 6 3 3 2 7 2 2 2" xfId="10387"/>
    <cellStyle name="Обычный 6 3 3 2 7 2 2 2 2" xfId="14634"/>
    <cellStyle name="Обычный 6 3 3 2 7 2 2 3" xfId="14635"/>
    <cellStyle name="Обычный 6 3 3 2 7 2 3" xfId="8331"/>
    <cellStyle name="Обычный 6 3 3 2 7 2 3 2" xfId="14636"/>
    <cellStyle name="Обычный 6 3 3 2 7 2 4" xfId="14637"/>
    <cellStyle name="Обычный 6 3 3 2 7 3" xfId="4241"/>
    <cellStyle name="Обычный 6 3 3 2 7 3 2" xfId="9359"/>
    <cellStyle name="Обычный 6 3 3 2 7 3 2 2" xfId="14638"/>
    <cellStyle name="Обычный 6 3 3 2 7 3 3" xfId="14639"/>
    <cellStyle name="Обычный 6 3 3 2 7 4" xfId="7303"/>
    <cellStyle name="Обычный 6 3 3 2 7 4 2" xfId="14640"/>
    <cellStyle name="Обычный 6 3 3 2 7 5" xfId="14641"/>
    <cellStyle name="Обычный 6 3 3 2 8" xfId="3043"/>
    <cellStyle name="Обычный 6 3 4" xfId="341"/>
    <cellStyle name="Обычный 6 3 4 2" xfId="342"/>
    <cellStyle name="Обычный 6 3 4 2 2" xfId="742"/>
    <cellStyle name="Обычный 6 3 4 2 2 2" xfId="1870"/>
    <cellStyle name="Обычный 6 3 4 2 2 2 2" xfId="4413"/>
    <cellStyle name="Обычный 6 3 4 2 2 2 2 2" xfId="9531"/>
    <cellStyle name="Обычный 6 3 4 2 2 2 2 2 2" xfId="14642"/>
    <cellStyle name="Обычный 6 3 4 2 2 2 2 3" xfId="14643"/>
    <cellStyle name="Обычный 6 3 4 2 2 2 3" xfId="7475"/>
    <cellStyle name="Обычный 6 3 4 2 2 2 3 2" xfId="14644"/>
    <cellStyle name="Обычный 6 3 4 2 2 2 4" xfId="14645"/>
    <cellStyle name="Обычный 6 3 4 2 2 3" xfId="3385"/>
    <cellStyle name="Обычный 6 3 4 2 2 3 2" xfId="8503"/>
    <cellStyle name="Обычный 6 3 4 2 2 3 2 2" xfId="14646"/>
    <cellStyle name="Обычный 6 3 4 2 2 3 3" xfId="14647"/>
    <cellStyle name="Обычный 6 3 4 2 2 4" xfId="6447"/>
    <cellStyle name="Обычный 6 3 4 2 2 4 2" xfId="14648"/>
    <cellStyle name="Обычный 6 3 4 2 2 5" xfId="14649"/>
    <cellStyle name="Обычный 6 3 4 2 3" xfId="929"/>
    <cellStyle name="Обычный 6 3 4 2 3 2" xfId="2048"/>
    <cellStyle name="Обычный 6 3 4 2 3 2 2" xfId="4586"/>
    <cellStyle name="Обычный 6 3 4 2 3 2 2 2" xfId="9704"/>
    <cellStyle name="Обычный 6 3 4 2 3 2 2 2 2" xfId="14650"/>
    <cellStyle name="Обычный 6 3 4 2 3 2 2 3" xfId="14651"/>
    <cellStyle name="Обычный 6 3 4 2 3 2 3" xfId="7648"/>
    <cellStyle name="Обычный 6 3 4 2 3 2 3 2" xfId="14652"/>
    <cellStyle name="Обычный 6 3 4 2 3 2 4" xfId="14653"/>
    <cellStyle name="Обычный 6 3 4 2 3 3" xfId="3558"/>
    <cellStyle name="Обычный 6 3 4 2 3 3 2" xfId="8676"/>
    <cellStyle name="Обычный 6 3 4 2 3 3 2 2" xfId="14654"/>
    <cellStyle name="Обычный 6 3 4 2 3 3 3" xfId="14655"/>
    <cellStyle name="Обычный 6 3 4 2 3 4" xfId="6620"/>
    <cellStyle name="Обычный 6 3 4 2 3 4 2" xfId="14656"/>
    <cellStyle name="Обычный 6 3 4 2 3 5" xfId="14657"/>
    <cellStyle name="Обычный 6 3 4 2 4" xfId="1100"/>
    <cellStyle name="Обычный 6 3 4 2 4 2" xfId="2219"/>
    <cellStyle name="Обычный 6 3 4 2 4 2 2" xfId="4757"/>
    <cellStyle name="Обычный 6 3 4 2 4 2 2 2" xfId="9875"/>
    <cellStyle name="Обычный 6 3 4 2 4 2 2 2 2" xfId="14658"/>
    <cellStyle name="Обычный 6 3 4 2 4 2 2 3" xfId="14659"/>
    <cellStyle name="Обычный 6 3 4 2 4 2 3" xfId="7819"/>
    <cellStyle name="Обычный 6 3 4 2 4 2 3 2" xfId="14660"/>
    <cellStyle name="Обычный 6 3 4 2 4 2 4" xfId="14661"/>
    <cellStyle name="Обычный 6 3 4 2 4 3" xfId="3729"/>
    <cellStyle name="Обычный 6 3 4 2 4 3 2" xfId="8847"/>
    <cellStyle name="Обычный 6 3 4 2 4 3 2 2" xfId="14662"/>
    <cellStyle name="Обычный 6 3 4 2 4 3 3" xfId="14663"/>
    <cellStyle name="Обычный 6 3 4 2 4 4" xfId="6791"/>
    <cellStyle name="Обычный 6 3 4 2 4 4 2" xfId="14664"/>
    <cellStyle name="Обычный 6 3 4 2 4 5" xfId="14665"/>
    <cellStyle name="Обычный 6 3 4 2 5" xfId="1281"/>
    <cellStyle name="Обычный 6 3 4 2 5 2" xfId="2390"/>
    <cellStyle name="Обычный 6 3 4 2 5 2 2" xfId="4928"/>
    <cellStyle name="Обычный 6 3 4 2 5 2 2 2" xfId="10046"/>
    <cellStyle name="Обычный 6 3 4 2 5 2 2 2 2" xfId="14666"/>
    <cellStyle name="Обычный 6 3 4 2 5 2 2 3" xfId="14667"/>
    <cellStyle name="Обычный 6 3 4 2 5 2 3" xfId="7990"/>
    <cellStyle name="Обычный 6 3 4 2 5 2 3 2" xfId="14668"/>
    <cellStyle name="Обычный 6 3 4 2 5 2 4" xfId="14669"/>
    <cellStyle name="Обычный 6 3 4 2 5 3" xfId="3900"/>
    <cellStyle name="Обычный 6 3 4 2 5 3 2" xfId="9018"/>
    <cellStyle name="Обычный 6 3 4 2 5 3 2 2" xfId="14670"/>
    <cellStyle name="Обычный 6 3 4 2 5 3 3" xfId="14671"/>
    <cellStyle name="Обычный 6 3 4 2 5 4" xfId="6962"/>
    <cellStyle name="Обычный 6 3 4 2 5 4 2" xfId="14672"/>
    <cellStyle name="Обычный 6 3 4 2 5 5" xfId="14673"/>
    <cellStyle name="Обычный 6 3 4 2 6" xfId="1455"/>
    <cellStyle name="Обычный 6 3 4 2 6 2" xfId="2561"/>
    <cellStyle name="Обычный 6 3 4 2 6 2 2" xfId="5099"/>
    <cellStyle name="Обычный 6 3 4 2 6 2 2 2" xfId="10217"/>
    <cellStyle name="Обычный 6 3 4 2 6 2 2 2 2" xfId="14674"/>
    <cellStyle name="Обычный 6 3 4 2 6 2 2 3" xfId="14675"/>
    <cellStyle name="Обычный 6 3 4 2 6 2 3" xfId="8161"/>
    <cellStyle name="Обычный 6 3 4 2 6 2 3 2" xfId="14676"/>
    <cellStyle name="Обычный 6 3 4 2 6 2 4" xfId="14677"/>
    <cellStyle name="Обычный 6 3 4 2 6 3" xfId="4071"/>
    <cellStyle name="Обычный 6 3 4 2 6 3 2" xfId="9189"/>
    <cellStyle name="Обычный 6 3 4 2 6 3 2 2" xfId="14678"/>
    <cellStyle name="Обычный 6 3 4 2 6 3 3" xfId="14679"/>
    <cellStyle name="Обычный 6 3 4 2 6 4" xfId="7133"/>
    <cellStyle name="Обычный 6 3 4 2 6 4 2" xfId="14680"/>
    <cellStyle name="Обычный 6 3 4 2 6 5" xfId="14681"/>
    <cellStyle name="Обычный 6 3 4 2 7" xfId="1626"/>
    <cellStyle name="Обычный 6 3 4 2 7 2" xfId="2732"/>
    <cellStyle name="Обычный 6 3 4 2 7 2 2" xfId="5270"/>
    <cellStyle name="Обычный 6 3 4 2 7 2 2 2" xfId="10388"/>
    <cellStyle name="Обычный 6 3 4 2 7 2 2 2 2" xfId="14682"/>
    <cellStyle name="Обычный 6 3 4 2 7 2 2 3" xfId="14683"/>
    <cellStyle name="Обычный 6 3 4 2 7 2 3" xfId="8332"/>
    <cellStyle name="Обычный 6 3 4 2 7 2 3 2" xfId="14684"/>
    <cellStyle name="Обычный 6 3 4 2 7 2 4" xfId="14685"/>
    <cellStyle name="Обычный 6 3 4 2 7 3" xfId="4242"/>
    <cellStyle name="Обычный 6 3 4 2 7 3 2" xfId="9360"/>
    <cellStyle name="Обычный 6 3 4 2 7 3 2 2" xfId="14686"/>
    <cellStyle name="Обычный 6 3 4 2 7 3 3" xfId="14687"/>
    <cellStyle name="Обычный 6 3 4 2 7 4" xfId="7304"/>
    <cellStyle name="Обычный 6 3 4 2 7 4 2" xfId="14688"/>
    <cellStyle name="Обычный 6 3 4 2 7 5" xfId="14689"/>
    <cellStyle name="Обычный 6 3 4 2 8" xfId="3044"/>
    <cellStyle name="Обычный 6 3 5" xfId="343"/>
    <cellStyle name="Обычный 6 3 5 2" xfId="743"/>
    <cellStyle name="Обычный 6 3 5 2 2" xfId="1871"/>
    <cellStyle name="Обычный 6 3 5 2 2 2" xfId="4414"/>
    <cellStyle name="Обычный 6 3 5 2 2 2 2" xfId="9532"/>
    <cellStyle name="Обычный 6 3 5 2 2 2 2 2" xfId="14690"/>
    <cellStyle name="Обычный 6 3 5 2 2 2 3" xfId="14691"/>
    <cellStyle name="Обычный 6 3 5 2 2 3" xfId="7476"/>
    <cellStyle name="Обычный 6 3 5 2 2 3 2" xfId="14692"/>
    <cellStyle name="Обычный 6 3 5 2 2 4" xfId="14693"/>
    <cellStyle name="Обычный 6 3 5 2 3" xfId="3386"/>
    <cellStyle name="Обычный 6 3 5 2 3 2" xfId="8504"/>
    <cellStyle name="Обычный 6 3 5 2 3 2 2" xfId="14694"/>
    <cellStyle name="Обычный 6 3 5 2 3 3" xfId="14695"/>
    <cellStyle name="Обычный 6 3 5 2 4" xfId="6448"/>
    <cellStyle name="Обычный 6 3 5 2 4 2" xfId="14696"/>
    <cellStyle name="Обычный 6 3 5 2 5" xfId="14697"/>
    <cellStyle name="Обычный 6 3 5 3" xfId="930"/>
    <cellStyle name="Обычный 6 3 5 3 2" xfId="2049"/>
    <cellStyle name="Обычный 6 3 5 3 2 2" xfId="4587"/>
    <cellStyle name="Обычный 6 3 5 3 2 2 2" xfId="9705"/>
    <cellStyle name="Обычный 6 3 5 3 2 2 2 2" xfId="14698"/>
    <cellStyle name="Обычный 6 3 5 3 2 2 3" xfId="14699"/>
    <cellStyle name="Обычный 6 3 5 3 2 3" xfId="7649"/>
    <cellStyle name="Обычный 6 3 5 3 2 3 2" xfId="14700"/>
    <cellStyle name="Обычный 6 3 5 3 2 4" xfId="14701"/>
    <cellStyle name="Обычный 6 3 5 3 3" xfId="3559"/>
    <cellStyle name="Обычный 6 3 5 3 3 2" xfId="8677"/>
    <cellStyle name="Обычный 6 3 5 3 3 2 2" xfId="14702"/>
    <cellStyle name="Обычный 6 3 5 3 3 3" xfId="14703"/>
    <cellStyle name="Обычный 6 3 5 3 4" xfId="6621"/>
    <cellStyle name="Обычный 6 3 5 3 4 2" xfId="14704"/>
    <cellStyle name="Обычный 6 3 5 3 5" xfId="14705"/>
    <cellStyle name="Обычный 6 3 5 4" xfId="1101"/>
    <cellStyle name="Обычный 6 3 5 4 2" xfId="2220"/>
    <cellStyle name="Обычный 6 3 5 4 2 2" xfId="4758"/>
    <cellStyle name="Обычный 6 3 5 4 2 2 2" xfId="9876"/>
    <cellStyle name="Обычный 6 3 5 4 2 2 2 2" xfId="14706"/>
    <cellStyle name="Обычный 6 3 5 4 2 2 3" xfId="14707"/>
    <cellStyle name="Обычный 6 3 5 4 2 3" xfId="7820"/>
    <cellStyle name="Обычный 6 3 5 4 2 3 2" xfId="14708"/>
    <cellStyle name="Обычный 6 3 5 4 2 4" xfId="14709"/>
    <cellStyle name="Обычный 6 3 5 4 3" xfId="3730"/>
    <cellStyle name="Обычный 6 3 5 4 3 2" xfId="8848"/>
    <cellStyle name="Обычный 6 3 5 4 3 2 2" xfId="14710"/>
    <cellStyle name="Обычный 6 3 5 4 3 3" xfId="14711"/>
    <cellStyle name="Обычный 6 3 5 4 4" xfId="6792"/>
    <cellStyle name="Обычный 6 3 5 4 4 2" xfId="14712"/>
    <cellStyle name="Обычный 6 3 5 4 5" xfId="14713"/>
    <cellStyle name="Обычный 6 3 5 5" xfId="1282"/>
    <cellStyle name="Обычный 6 3 5 5 2" xfId="2391"/>
    <cellStyle name="Обычный 6 3 5 5 2 2" xfId="4929"/>
    <cellStyle name="Обычный 6 3 5 5 2 2 2" xfId="10047"/>
    <cellStyle name="Обычный 6 3 5 5 2 2 2 2" xfId="14714"/>
    <cellStyle name="Обычный 6 3 5 5 2 2 3" xfId="14715"/>
    <cellStyle name="Обычный 6 3 5 5 2 3" xfId="7991"/>
    <cellStyle name="Обычный 6 3 5 5 2 3 2" xfId="14716"/>
    <cellStyle name="Обычный 6 3 5 5 2 4" xfId="14717"/>
    <cellStyle name="Обычный 6 3 5 5 3" xfId="3901"/>
    <cellStyle name="Обычный 6 3 5 5 3 2" xfId="9019"/>
    <cellStyle name="Обычный 6 3 5 5 3 2 2" xfId="14718"/>
    <cellStyle name="Обычный 6 3 5 5 3 3" xfId="14719"/>
    <cellStyle name="Обычный 6 3 5 5 4" xfId="6963"/>
    <cellStyle name="Обычный 6 3 5 5 4 2" xfId="14720"/>
    <cellStyle name="Обычный 6 3 5 5 5" xfId="14721"/>
    <cellStyle name="Обычный 6 3 5 6" xfId="1456"/>
    <cellStyle name="Обычный 6 3 5 6 2" xfId="2562"/>
    <cellStyle name="Обычный 6 3 5 6 2 2" xfId="5100"/>
    <cellStyle name="Обычный 6 3 5 6 2 2 2" xfId="10218"/>
    <cellStyle name="Обычный 6 3 5 6 2 2 2 2" xfId="14722"/>
    <cellStyle name="Обычный 6 3 5 6 2 2 3" xfId="14723"/>
    <cellStyle name="Обычный 6 3 5 6 2 3" xfId="8162"/>
    <cellStyle name="Обычный 6 3 5 6 2 3 2" xfId="14724"/>
    <cellStyle name="Обычный 6 3 5 6 2 4" xfId="14725"/>
    <cellStyle name="Обычный 6 3 5 6 3" xfId="4072"/>
    <cellStyle name="Обычный 6 3 5 6 3 2" xfId="9190"/>
    <cellStyle name="Обычный 6 3 5 6 3 2 2" xfId="14726"/>
    <cellStyle name="Обычный 6 3 5 6 3 3" xfId="14727"/>
    <cellStyle name="Обычный 6 3 5 6 4" xfId="7134"/>
    <cellStyle name="Обычный 6 3 5 6 4 2" xfId="14728"/>
    <cellStyle name="Обычный 6 3 5 6 5" xfId="14729"/>
    <cellStyle name="Обычный 6 3 5 7" xfId="1627"/>
    <cellStyle name="Обычный 6 3 5 7 2" xfId="2733"/>
    <cellStyle name="Обычный 6 3 5 7 2 2" xfId="5271"/>
    <cellStyle name="Обычный 6 3 5 7 2 2 2" xfId="10389"/>
    <cellStyle name="Обычный 6 3 5 7 2 2 2 2" xfId="14730"/>
    <cellStyle name="Обычный 6 3 5 7 2 2 3" xfId="14731"/>
    <cellStyle name="Обычный 6 3 5 7 2 3" xfId="8333"/>
    <cellStyle name="Обычный 6 3 5 7 2 3 2" xfId="14732"/>
    <cellStyle name="Обычный 6 3 5 7 2 4" xfId="14733"/>
    <cellStyle name="Обычный 6 3 5 7 3" xfId="4243"/>
    <cellStyle name="Обычный 6 3 5 7 3 2" xfId="9361"/>
    <cellStyle name="Обычный 6 3 5 7 3 2 2" xfId="14734"/>
    <cellStyle name="Обычный 6 3 5 7 3 3" xfId="14735"/>
    <cellStyle name="Обычный 6 3 5 7 4" xfId="7305"/>
    <cellStyle name="Обычный 6 3 5 7 4 2" xfId="14736"/>
    <cellStyle name="Обычный 6 3 5 7 5" xfId="14737"/>
    <cellStyle name="Обычный 6 3 5 8" xfId="3045"/>
    <cellStyle name="Обычный 6 4" xfId="344"/>
    <cellStyle name="Обычный 6 4 2" xfId="345"/>
    <cellStyle name="Обычный 6 4 2 2" xfId="346"/>
    <cellStyle name="Обычный 6 4 2 2 2" xfId="347"/>
    <cellStyle name="Обычный 6 4 2 2 2 2" xfId="744"/>
    <cellStyle name="Обычный 6 4 2 2 2 2 2" xfId="1872"/>
    <cellStyle name="Обычный 6 4 2 2 2 2 2 2" xfId="4415"/>
    <cellStyle name="Обычный 6 4 2 2 2 2 2 2 2" xfId="9533"/>
    <cellStyle name="Обычный 6 4 2 2 2 2 2 2 2 2" xfId="14738"/>
    <cellStyle name="Обычный 6 4 2 2 2 2 2 2 3" xfId="14739"/>
    <cellStyle name="Обычный 6 4 2 2 2 2 2 3" xfId="7477"/>
    <cellStyle name="Обычный 6 4 2 2 2 2 2 3 2" xfId="14740"/>
    <cellStyle name="Обычный 6 4 2 2 2 2 2 4" xfId="14741"/>
    <cellStyle name="Обычный 6 4 2 2 2 2 3" xfId="3387"/>
    <cellStyle name="Обычный 6 4 2 2 2 2 3 2" xfId="8505"/>
    <cellStyle name="Обычный 6 4 2 2 2 2 3 2 2" xfId="14742"/>
    <cellStyle name="Обычный 6 4 2 2 2 2 3 3" xfId="14743"/>
    <cellStyle name="Обычный 6 4 2 2 2 2 4" xfId="6449"/>
    <cellStyle name="Обычный 6 4 2 2 2 2 4 2" xfId="14744"/>
    <cellStyle name="Обычный 6 4 2 2 2 2 5" xfId="14745"/>
    <cellStyle name="Обычный 6 4 2 2 2 3" xfId="931"/>
    <cellStyle name="Обычный 6 4 2 2 2 3 2" xfId="2050"/>
    <cellStyle name="Обычный 6 4 2 2 2 3 2 2" xfId="4588"/>
    <cellStyle name="Обычный 6 4 2 2 2 3 2 2 2" xfId="9706"/>
    <cellStyle name="Обычный 6 4 2 2 2 3 2 2 2 2" xfId="14746"/>
    <cellStyle name="Обычный 6 4 2 2 2 3 2 2 3" xfId="14747"/>
    <cellStyle name="Обычный 6 4 2 2 2 3 2 3" xfId="7650"/>
    <cellStyle name="Обычный 6 4 2 2 2 3 2 3 2" xfId="14748"/>
    <cellStyle name="Обычный 6 4 2 2 2 3 2 4" xfId="14749"/>
    <cellStyle name="Обычный 6 4 2 2 2 3 3" xfId="3560"/>
    <cellStyle name="Обычный 6 4 2 2 2 3 3 2" xfId="8678"/>
    <cellStyle name="Обычный 6 4 2 2 2 3 3 2 2" xfId="14750"/>
    <cellStyle name="Обычный 6 4 2 2 2 3 3 3" xfId="14751"/>
    <cellStyle name="Обычный 6 4 2 2 2 3 4" xfId="6622"/>
    <cellStyle name="Обычный 6 4 2 2 2 3 4 2" xfId="14752"/>
    <cellStyle name="Обычный 6 4 2 2 2 3 5" xfId="14753"/>
    <cellStyle name="Обычный 6 4 2 2 2 4" xfId="1102"/>
    <cellStyle name="Обычный 6 4 2 2 2 4 2" xfId="2221"/>
    <cellStyle name="Обычный 6 4 2 2 2 4 2 2" xfId="4759"/>
    <cellStyle name="Обычный 6 4 2 2 2 4 2 2 2" xfId="9877"/>
    <cellStyle name="Обычный 6 4 2 2 2 4 2 2 2 2" xfId="14754"/>
    <cellStyle name="Обычный 6 4 2 2 2 4 2 2 3" xfId="14755"/>
    <cellStyle name="Обычный 6 4 2 2 2 4 2 3" xfId="7821"/>
    <cellStyle name="Обычный 6 4 2 2 2 4 2 3 2" xfId="14756"/>
    <cellStyle name="Обычный 6 4 2 2 2 4 2 4" xfId="14757"/>
    <cellStyle name="Обычный 6 4 2 2 2 4 3" xfId="3731"/>
    <cellStyle name="Обычный 6 4 2 2 2 4 3 2" xfId="8849"/>
    <cellStyle name="Обычный 6 4 2 2 2 4 3 2 2" xfId="14758"/>
    <cellStyle name="Обычный 6 4 2 2 2 4 3 3" xfId="14759"/>
    <cellStyle name="Обычный 6 4 2 2 2 4 4" xfId="6793"/>
    <cellStyle name="Обычный 6 4 2 2 2 4 4 2" xfId="14760"/>
    <cellStyle name="Обычный 6 4 2 2 2 4 5" xfId="14761"/>
    <cellStyle name="Обычный 6 4 2 2 2 5" xfId="1283"/>
    <cellStyle name="Обычный 6 4 2 2 2 5 2" xfId="2392"/>
    <cellStyle name="Обычный 6 4 2 2 2 5 2 2" xfId="4930"/>
    <cellStyle name="Обычный 6 4 2 2 2 5 2 2 2" xfId="10048"/>
    <cellStyle name="Обычный 6 4 2 2 2 5 2 2 2 2" xfId="14762"/>
    <cellStyle name="Обычный 6 4 2 2 2 5 2 2 3" xfId="14763"/>
    <cellStyle name="Обычный 6 4 2 2 2 5 2 3" xfId="7992"/>
    <cellStyle name="Обычный 6 4 2 2 2 5 2 3 2" xfId="14764"/>
    <cellStyle name="Обычный 6 4 2 2 2 5 2 4" xfId="14765"/>
    <cellStyle name="Обычный 6 4 2 2 2 5 3" xfId="3902"/>
    <cellStyle name="Обычный 6 4 2 2 2 5 3 2" xfId="9020"/>
    <cellStyle name="Обычный 6 4 2 2 2 5 3 2 2" xfId="14766"/>
    <cellStyle name="Обычный 6 4 2 2 2 5 3 3" xfId="14767"/>
    <cellStyle name="Обычный 6 4 2 2 2 5 4" xfId="6964"/>
    <cellStyle name="Обычный 6 4 2 2 2 5 4 2" xfId="14768"/>
    <cellStyle name="Обычный 6 4 2 2 2 5 5" xfId="14769"/>
    <cellStyle name="Обычный 6 4 2 2 2 6" xfId="1457"/>
    <cellStyle name="Обычный 6 4 2 2 2 6 2" xfId="2563"/>
    <cellStyle name="Обычный 6 4 2 2 2 6 2 2" xfId="5101"/>
    <cellStyle name="Обычный 6 4 2 2 2 6 2 2 2" xfId="10219"/>
    <cellStyle name="Обычный 6 4 2 2 2 6 2 2 2 2" xfId="14770"/>
    <cellStyle name="Обычный 6 4 2 2 2 6 2 2 3" xfId="14771"/>
    <cellStyle name="Обычный 6 4 2 2 2 6 2 3" xfId="8163"/>
    <cellStyle name="Обычный 6 4 2 2 2 6 2 3 2" xfId="14772"/>
    <cellStyle name="Обычный 6 4 2 2 2 6 2 4" xfId="14773"/>
    <cellStyle name="Обычный 6 4 2 2 2 6 3" xfId="4073"/>
    <cellStyle name="Обычный 6 4 2 2 2 6 3 2" xfId="9191"/>
    <cellStyle name="Обычный 6 4 2 2 2 6 3 2 2" xfId="14774"/>
    <cellStyle name="Обычный 6 4 2 2 2 6 3 3" xfId="14775"/>
    <cellStyle name="Обычный 6 4 2 2 2 6 4" xfId="7135"/>
    <cellStyle name="Обычный 6 4 2 2 2 6 4 2" xfId="14776"/>
    <cellStyle name="Обычный 6 4 2 2 2 6 5" xfId="14777"/>
    <cellStyle name="Обычный 6 4 2 2 2 7" xfId="1628"/>
    <cellStyle name="Обычный 6 4 2 2 2 7 2" xfId="2734"/>
    <cellStyle name="Обычный 6 4 2 2 2 7 2 2" xfId="5272"/>
    <cellStyle name="Обычный 6 4 2 2 2 7 2 2 2" xfId="10390"/>
    <cellStyle name="Обычный 6 4 2 2 2 7 2 2 2 2" xfId="14778"/>
    <cellStyle name="Обычный 6 4 2 2 2 7 2 2 3" xfId="14779"/>
    <cellStyle name="Обычный 6 4 2 2 2 7 2 3" xfId="8334"/>
    <cellStyle name="Обычный 6 4 2 2 2 7 2 3 2" xfId="14780"/>
    <cellStyle name="Обычный 6 4 2 2 2 7 2 4" xfId="14781"/>
    <cellStyle name="Обычный 6 4 2 2 2 7 3" xfId="4244"/>
    <cellStyle name="Обычный 6 4 2 2 2 7 3 2" xfId="9362"/>
    <cellStyle name="Обычный 6 4 2 2 2 7 3 2 2" xfId="14782"/>
    <cellStyle name="Обычный 6 4 2 2 2 7 3 3" xfId="14783"/>
    <cellStyle name="Обычный 6 4 2 2 2 7 4" xfId="7306"/>
    <cellStyle name="Обычный 6 4 2 2 2 7 4 2" xfId="14784"/>
    <cellStyle name="Обычный 6 4 2 2 2 7 5" xfId="14785"/>
    <cellStyle name="Обычный 6 4 2 2 2 8" xfId="3046"/>
    <cellStyle name="Обычный 6 4 2 3" xfId="348"/>
    <cellStyle name="Обычный 6 4 2 3 2" xfId="349"/>
    <cellStyle name="Обычный 6 4 2 3 2 2" xfId="745"/>
    <cellStyle name="Обычный 6 4 2 3 2 2 2" xfId="1873"/>
    <cellStyle name="Обычный 6 4 2 3 2 2 2 2" xfId="4416"/>
    <cellStyle name="Обычный 6 4 2 3 2 2 2 2 2" xfId="9534"/>
    <cellStyle name="Обычный 6 4 2 3 2 2 2 2 2 2" xfId="14786"/>
    <cellStyle name="Обычный 6 4 2 3 2 2 2 2 3" xfId="14787"/>
    <cellStyle name="Обычный 6 4 2 3 2 2 2 3" xfId="7478"/>
    <cellStyle name="Обычный 6 4 2 3 2 2 2 3 2" xfId="14788"/>
    <cellStyle name="Обычный 6 4 2 3 2 2 2 4" xfId="14789"/>
    <cellStyle name="Обычный 6 4 2 3 2 2 3" xfId="3388"/>
    <cellStyle name="Обычный 6 4 2 3 2 2 3 2" xfId="8506"/>
    <cellStyle name="Обычный 6 4 2 3 2 2 3 2 2" xfId="14790"/>
    <cellStyle name="Обычный 6 4 2 3 2 2 3 3" xfId="14791"/>
    <cellStyle name="Обычный 6 4 2 3 2 2 4" xfId="6450"/>
    <cellStyle name="Обычный 6 4 2 3 2 2 4 2" xfId="14792"/>
    <cellStyle name="Обычный 6 4 2 3 2 2 5" xfId="14793"/>
    <cellStyle name="Обычный 6 4 2 3 2 3" xfId="932"/>
    <cellStyle name="Обычный 6 4 2 3 2 3 2" xfId="2051"/>
    <cellStyle name="Обычный 6 4 2 3 2 3 2 2" xfId="4589"/>
    <cellStyle name="Обычный 6 4 2 3 2 3 2 2 2" xfId="9707"/>
    <cellStyle name="Обычный 6 4 2 3 2 3 2 2 2 2" xfId="14794"/>
    <cellStyle name="Обычный 6 4 2 3 2 3 2 2 3" xfId="14795"/>
    <cellStyle name="Обычный 6 4 2 3 2 3 2 3" xfId="7651"/>
    <cellStyle name="Обычный 6 4 2 3 2 3 2 3 2" xfId="14796"/>
    <cellStyle name="Обычный 6 4 2 3 2 3 2 4" xfId="14797"/>
    <cellStyle name="Обычный 6 4 2 3 2 3 3" xfId="3561"/>
    <cellStyle name="Обычный 6 4 2 3 2 3 3 2" xfId="8679"/>
    <cellStyle name="Обычный 6 4 2 3 2 3 3 2 2" xfId="14798"/>
    <cellStyle name="Обычный 6 4 2 3 2 3 3 3" xfId="14799"/>
    <cellStyle name="Обычный 6 4 2 3 2 3 4" xfId="6623"/>
    <cellStyle name="Обычный 6 4 2 3 2 3 4 2" xfId="14800"/>
    <cellStyle name="Обычный 6 4 2 3 2 3 5" xfId="14801"/>
    <cellStyle name="Обычный 6 4 2 3 2 4" xfId="1103"/>
    <cellStyle name="Обычный 6 4 2 3 2 4 2" xfId="2222"/>
    <cellStyle name="Обычный 6 4 2 3 2 4 2 2" xfId="4760"/>
    <cellStyle name="Обычный 6 4 2 3 2 4 2 2 2" xfId="9878"/>
    <cellStyle name="Обычный 6 4 2 3 2 4 2 2 2 2" xfId="14802"/>
    <cellStyle name="Обычный 6 4 2 3 2 4 2 2 3" xfId="14803"/>
    <cellStyle name="Обычный 6 4 2 3 2 4 2 3" xfId="7822"/>
    <cellStyle name="Обычный 6 4 2 3 2 4 2 3 2" xfId="14804"/>
    <cellStyle name="Обычный 6 4 2 3 2 4 2 4" xfId="14805"/>
    <cellStyle name="Обычный 6 4 2 3 2 4 3" xfId="3732"/>
    <cellStyle name="Обычный 6 4 2 3 2 4 3 2" xfId="8850"/>
    <cellStyle name="Обычный 6 4 2 3 2 4 3 2 2" xfId="14806"/>
    <cellStyle name="Обычный 6 4 2 3 2 4 3 3" xfId="14807"/>
    <cellStyle name="Обычный 6 4 2 3 2 4 4" xfId="6794"/>
    <cellStyle name="Обычный 6 4 2 3 2 4 4 2" xfId="14808"/>
    <cellStyle name="Обычный 6 4 2 3 2 4 5" xfId="14809"/>
    <cellStyle name="Обычный 6 4 2 3 2 5" xfId="1284"/>
    <cellStyle name="Обычный 6 4 2 3 2 5 2" xfId="2393"/>
    <cellStyle name="Обычный 6 4 2 3 2 5 2 2" xfId="4931"/>
    <cellStyle name="Обычный 6 4 2 3 2 5 2 2 2" xfId="10049"/>
    <cellStyle name="Обычный 6 4 2 3 2 5 2 2 2 2" xfId="14810"/>
    <cellStyle name="Обычный 6 4 2 3 2 5 2 2 3" xfId="14811"/>
    <cellStyle name="Обычный 6 4 2 3 2 5 2 3" xfId="7993"/>
    <cellStyle name="Обычный 6 4 2 3 2 5 2 3 2" xfId="14812"/>
    <cellStyle name="Обычный 6 4 2 3 2 5 2 4" xfId="14813"/>
    <cellStyle name="Обычный 6 4 2 3 2 5 3" xfId="3903"/>
    <cellStyle name="Обычный 6 4 2 3 2 5 3 2" xfId="9021"/>
    <cellStyle name="Обычный 6 4 2 3 2 5 3 2 2" xfId="14814"/>
    <cellStyle name="Обычный 6 4 2 3 2 5 3 3" xfId="14815"/>
    <cellStyle name="Обычный 6 4 2 3 2 5 4" xfId="6965"/>
    <cellStyle name="Обычный 6 4 2 3 2 5 4 2" xfId="14816"/>
    <cellStyle name="Обычный 6 4 2 3 2 5 5" xfId="14817"/>
    <cellStyle name="Обычный 6 4 2 3 2 6" xfId="1458"/>
    <cellStyle name="Обычный 6 4 2 3 2 6 2" xfId="2564"/>
    <cellStyle name="Обычный 6 4 2 3 2 6 2 2" xfId="5102"/>
    <cellStyle name="Обычный 6 4 2 3 2 6 2 2 2" xfId="10220"/>
    <cellStyle name="Обычный 6 4 2 3 2 6 2 2 2 2" xfId="14818"/>
    <cellStyle name="Обычный 6 4 2 3 2 6 2 2 3" xfId="14819"/>
    <cellStyle name="Обычный 6 4 2 3 2 6 2 3" xfId="8164"/>
    <cellStyle name="Обычный 6 4 2 3 2 6 2 3 2" xfId="14820"/>
    <cellStyle name="Обычный 6 4 2 3 2 6 2 4" xfId="14821"/>
    <cellStyle name="Обычный 6 4 2 3 2 6 3" xfId="4074"/>
    <cellStyle name="Обычный 6 4 2 3 2 6 3 2" xfId="9192"/>
    <cellStyle name="Обычный 6 4 2 3 2 6 3 2 2" xfId="14822"/>
    <cellStyle name="Обычный 6 4 2 3 2 6 3 3" xfId="14823"/>
    <cellStyle name="Обычный 6 4 2 3 2 6 4" xfId="7136"/>
    <cellStyle name="Обычный 6 4 2 3 2 6 4 2" xfId="14824"/>
    <cellStyle name="Обычный 6 4 2 3 2 6 5" xfId="14825"/>
    <cellStyle name="Обычный 6 4 2 3 2 7" xfId="1629"/>
    <cellStyle name="Обычный 6 4 2 3 2 7 2" xfId="2735"/>
    <cellStyle name="Обычный 6 4 2 3 2 7 2 2" xfId="5273"/>
    <cellStyle name="Обычный 6 4 2 3 2 7 2 2 2" xfId="10391"/>
    <cellStyle name="Обычный 6 4 2 3 2 7 2 2 2 2" xfId="14826"/>
    <cellStyle name="Обычный 6 4 2 3 2 7 2 2 3" xfId="14827"/>
    <cellStyle name="Обычный 6 4 2 3 2 7 2 3" xfId="8335"/>
    <cellStyle name="Обычный 6 4 2 3 2 7 2 3 2" xfId="14828"/>
    <cellStyle name="Обычный 6 4 2 3 2 7 2 4" xfId="14829"/>
    <cellStyle name="Обычный 6 4 2 3 2 7 3" xfId="4245"/>
    <cellStyle name="Обычный 6 4 2 3 2 7 3 2" xfId="9363"/>
    <cellStyle name="Обычный 6 4 2 3 2 7 3 2 2" xfId="14830"/>
    <cellStyle name="Обычный 6 4 2 3 2 7 3 3" xfId="14831"/>
    <cellStyle name="Обычный 6 4 2 3 2 7 4" xfId="7307"/>
    <cellStyle name="Обычный 6 4 2 3 2 7 4 2" xfId="14832"/>
    <cellStyle name="Обычный 6 4 2 3 2 7 5" xfId="14833"/>
    <cellStyle name="Обычный 6 4 2 3 2 8" xfId="3047"/>
    <cellStyle name="Обычный 6 4 2 4" xfId="350"/>
    <cellStyle name="Обычный 6 4 2 4 2" xfId="746"/>
    <cellStyle name="Обычный 6 4 2 4 2 2" xfId="1874"/>
    <cellStyle name="Обычный 6 4 2 4 2 2 2" xfId="4417"/>
    <cellStyle name="Обычный 6 4 2 4 2 2 2 2" xfId="9535"/>
    <cellStyle name="Обычный 6 4 2 4 2 2 2 2 2" xfId="14834"/>
    <cellStyle name="Обычный 6 4 2 4 2 2 2 3" xfId="14835"/>
    <cellStyle name="Обычный 6 4 2 4 2 2 3" xfId="7479"/>
    <cellStyle name="Обычный 6 4 2 4 2 2 3 2" xfId="14836"/>
    <cellStyle name="Обычный 6 4 2 4 2 2 4" xfId="14837"/>
    <cellStyle name="Обычный 6 4 2 4 2 3" xfId="3389"/>
    <cellStyle name="Обычный 6 4 2 4 2 3 2" xfId="8507"/>
    <cellStyle name="Обычный 6 4 2 4 2 3 2 2" xfId="14838"/>
    <cellStyle name="Обычный 6 4 2 4 2 3 3" xfId="14839"/>
    <cellStyle name="Обычный 6 4 2 4 2 4" xfId="6451"/>
    <cellStyle name="Обычный 6 4 2 4 2 4 2" xfId="14840"/>
    <cellStyle name="Обычный 6 4 2 4 2 5" xfId="14841"/>
    <cellStyle name="Обычный 6 4 2 4 3" xfId="933"/>
    <cellStyle name="Обычный 6 4 2 4 3 2" xfId="2052"/>
    <cellStyle name="Обычный 6 4 2 4 3 2 2" xfId="4590"/>
    <cellStyle name="Обычный 6 4 2 4 3 2 2 2" xfId="9708"/>
    <cellStyle name="Обычный 6 4 2 4 3 2 2 2 2" xfId="14842"/>
    <cellStyle name="Обычный 6 4 2 4 3 2 2 3" xfId="14843"/>
    <cellStyle name="Обычный 6 4 2 4 3 2 3" xfId="7652"/>
    <cellStyle name="Обычный 6 4 2 4 3 2 3 2" xfId="14844"/>
    <cellStyle name="Обычный 6 4 2 4 3 2 4" xfId="14845"/>
    <cellStyle name="Обычный 6 4 2 4 3 3" xfId="3562"/>
    <cellStyle name="Обычный 6 4 2 4 3 3 2" xfId="8680"/>
    <cellStyle name="Обычный 6 4 2 4 3 3 2 2" xfId="14846"/>
    <cellStyle name="Обычный 6 4 2 4 3 3 3" xfId="14847"/>
    <cellStyle name="Обычный 6 4 2 4 3 4" xfId="6624"/>
    <cellStyle name="Обычный 6 4 2 4 3 4 2" xfId="14848"/>
    <cellStyle name="Обычный 6 4 2 4 3 5" xfId="14849"/>
    <cellStyle name="Обычный 6 4 2 4 4" xfId="1104"/>
    <cellStyle name="Обычный 6 4 2 4 4 2" xfId="2223"/>
    <cellStyle name="Обычный 6 4 2 4 4 2 2" xfId="4761"/>
    <cellStyle name="Обычный 6 4 2 4 4 2 2 2" xfId="9879"/>
    <cellStyle name="Обычный 6 4 2 4 4 2 2 2 2" xfId="14850"/>
    <cellStyle name="Обычный 6 4 2 4 4 2 2 3" xfId="14851"/>
    <cellStyle name="Обычный 6 4 2 4 4 2 3" xfId="7823"/>
    <cellStyle name="Обычный 6 4 2 4 4 2 3 2" xfId="14852"/>
    <cellStyle name="Обычный 6 4 2 4 4 2 4" xfId="14853"/>
    <cellStyle name="Обычный 6 4 2 4 4 3" xfId="3733"/>
    <cellStyle name="Обычный 6 4 2 4 4 3 2" xfId="8851"/>
    <cellStyle name="Обычный 6 4 2 4 4 3 2 2" xfId="14854"/>
    <cellStyle name="Обычный 6 4 2 4 4 3 3" xfId="14855"/>
    <cellStyle name="Обычный 6 4 2 4 4 4" xfId="6795"/>
    <cellStyle name="Обычный 6 4 2 4 4 4 2" xfId="14856"/>
    <cellStyle name="Обычный 6 4 2 4 4 5" xfId="14857"/>
    <cellStyle name="Обычный 6 4 2 4 5" xfId="1285"/>
    <cellStyle name="Обычный 6 4 2 4 5 2" xfId="2394"/>
    <cellStyle name="Обычный 6 4 2 4 5 2 2" xfId="4932"/>
    <cellStyle name="Обычный 6 4 2 4 5 2 2 2" xfId="10050"/>
    <cellStyle name="Обычный 6 4 2 4 5 2 2 2 2" xfId="14858"/>
    <cellStyle name="Обычный 6 4 2 4 5 2 2 3" xfId="14859"/>
    <cellStyle name="Обычный 6 4 2 4 5 2 3" xfId="7994"/>
    <cellStyle name="Обычный 6 4 2 4 5 2 3 2" xfId="14860"/>
    <cellStyle name="Обычный 6 4 2 4 5 2 4" xfId="14861"/>
    <cellStyle name="Обычный 6 4 2 4 5 3" xfId="3904"/>
    <cellStyle name="Обычный 6 4 2 4 5 3 2" xfId="9022"/>
    <cellStyle name="Обычный 6 4 2 4 5 3 2 2" xfId="14862"/>
    <cellStyle name="Обычный 6 4 2 4 5 3 3" xfId="14863"/>
    <cellStyle name="Обычный 6 4 2 4 5 4" xfId="6966"/>
    <cellStyle name="Обычный 6 4 2 4 5 4 2" xfId="14864"/>
    <cellStyle name="Обычный 6 4 2 4 5 5" xfId="14865"/>
    <cellStyle name="Обычный 6 4 2 4 6" xfId="1459"/>
    <cellStyle name="Обычный 6 4 2 4 6 2" xfId="2565"/>
    <cellStyle name="Обычный 6 4 2 4 6 2 2" xfId="5103"/>
    <cellStyle name="Обычный 6 4 2 4 6 2 2 2" xfId="10221"/>
    <cellStyle name="Обычный 6 4 2 4 6 2 2 2 2" xfId="14866"/>
    <cellStyle name="Обычный 6 4 2 4 6 2 2 3" xfId="14867"/>
    <cellStyle name="Обычный 6 4 2 4 6 2 3" xfId="8165"/>
    <cellStyle name="Обычный 6 4 2 4 6 2 3 2" xfId="14868"/>
    <cellStyle name="Обычный 6 4 2 4 6 2 4" xfId="14869"/>
    <cellStyle name="Обычный 6 4 2 4 6 3" xfId="4075"/>
    <cellStyle name="Обычный 6 4 2 4 6 3 2" xfId="9193"/>
    <cellStyle name="Обычный 6 4 2 4 6 3 2 2" xfId="14870"/>
    <cellStyle name="Обычный 6 4 2 4 6 3 3" xfId="14871"/>
    <cellStyle name="Обычный 6 4 2 4 6 4" xfId="7137"/>
    <cellStyle name="Обычный 6 4 2 4 6 4 2" xfId="14872"/>
    <cellStyle name="Обычный 6 4 2 4 6 5" xfId="14873"/>
    <cellStyle name="Обычный 6 4 2 4 7" xfId="1630"/>
    <cellStyle name="Обычный 6 4 2 4 7 2" xfId="2736"/>
    <cellStyle name="Обычный 6 4 2 4 7 2 2" xfId="5274"/>
    <cellStyle name="Обычный 6 4 2 4 7 2 2 2" xfId="10392"/>
    <cellStyle name="Обычный 6 4 2 4 7 2 2 2 2" xfId="14874"/>
    <cellStyle name="Обычный 6 4 2 4 7 2 2 3" xfId="14875"/>
    <cellStyle name="Обычный 6 4 2 4 7 2 3" xfId="8336"/>
    <cellStyle name="Обычный 6 4 2 4 7 2 3 2" xfId="14876"/>
    <cellStyle name="Обычный 6 4 2 4 7 2 4" xfId="14877"/>
    <cellStyle name="Обычный 6 4 2 4 7 3" xfId="4246"/>
    <cellStyle name="Обычный 6 4 2 4 7 3 2" xfId="9364"/>
    <cellStyle name="Обычный 6 4 2 4 7 3 2 2" xfId="14878"/>
    <cellStyle name="Обычный 6 4 2 4 7 3 3" xfId="14879"/>
    <cellStyle name="Обычный 6 4 2 4 7 4" xfId="7308"/>
    <cellStyle name="Обычный 6 4 2 4 7 4 2" xfId="14880"/>
    <cellStyle name="Обычный 6 4 2 4 7 5" xfId="14881"/>
    <cellStyle name="Обычный 6 4 2 4 8" xfId="3048"/>
    <cellStyle name="Обычный 6 4 3" xfId="351"/>
    <cellStyle name="Обычный 6 4 3 2" xfId="352"/>
    <cellStyle name="Обычный 6 4 3 2 2" xfId="747"/>
    <cellStyle name="Обычный 6 4 3 2 2 2" xfId="1875"/>
    <cellStyle name="Обычный 6 4 3 2 2 2 2" xfId="4418"/>
    <cellStyle name="Обычный 6 4 3 2 2 2 2 2" xfId="9536"/>
    <cellStyle name="Обычный 6 4 3 2 2 2 2 2 2" xfId="14882"/>
    <cellStyle name="Обычный 6 4 3 2 2 2 2 3" xfId="14883"/>
    <cellStyle name="Обычный 6 4 3 2 2 2 3" xfId="7480"/>
    <cellStyle name="Обычный 6 4 3 2 2 2 3 2" xfId="14884"/>
    <cellStyle name="Обычный 6 4 3 2 2 2 4" xfId="14885"/>
    <cellStyle name="Обычный 6 4 3 2 2 3" xfId="3390"/>
    <cellStyle name="Обычный 6 4 3 2 2 3 2" xfId="8508"/>
    <cellStyle name="Обычный 6 4 3 2 2 3 2 2" xfId="14886"/>
    <cellStyle name="Обычный 6 4 3 2 2 3 3" xfId="14887"/>
    <cellStyle name="Обычный 6 4 3 2 2 4" xfId="6452"/>
    <cellStyle name="Обычный 6 4 3 2 2 4 2" xfId="14888"/>
    <cellStyle name="Обычный 6 4 3 2 2 5" xfId="14889"/>
    <cellStyle name="Обычный 6 4 3 2 3" xfId="934"/>
    <cellStyle name="Обычный 6 4 3 2 3 2" xfId="2053"/>
    <cellStyle name="Обычный 6 4 3 2 3 2 2" xfId="4591"/>
    <cellStyle name="Обычный 6 4 3 2 3 2 2 2" xfId="9709"/>
    <cellStyle name="Обычный 6 4 3 2 3 2 2 2 2" xfId="14890"/>
    <cellStyle name="Обычный 6 4 3 2 3 2 2 3" xfId="14891"/>
    <cellStyle name="Обычный 6 4 3 2 3 2 3" xfId="7653"/>
    <cellStyle name="Обычный 6 4 3 2 3 2 3 2" xfId="14892"/>
    <cellStyle name="Обычный 6 4 3 2 3 2 4" xfId="14893"/>
    <cellStyle name="Обычный 6 4 3 2 3 3" xfId="3563"/>
    <cellStyle name="Обычный 6 4 3 2 3 3 2" xfId="8681"/>
    <cellStyle name="Обычный 6 4 3 2 3 3 2 2" xfId="14894"/>
    <cellStyle name="Обычный 6 4 3 2 3 3 3" xfId="14895"/>
    <cellStyle name="Обычный 6 4 3 2 3 4" xfId="6625"/>
    <cellStyle name="Обычный 6 4 3 2 3 4 2" xfId="14896"/>
    <cellStyle name="Обычный 6 4 3 2 3 5" xfId="14897"/>
    <cellStyle name="Обычный 6 4 3 2 4" xfId="1105"/>
    <cellStyle name="Обычный 6 4 3 2 4 2" xfId="2224"/>
    <cellStyle name="Обычный 6 4 3 2 4 2 2" xfId="4762"/>
    <cellStyle name="Обычный 6 4 3 2 4 2 2 2" xfId="9880"/>
    <cellStyle name="Обычный 6 4 3 2 4 2 2 2 2" xfId="14898"/>
    <cellStyle name="Обычный 6 4 3 2 4 2 2 3" xfId="14899"/>
    <cellStyle name="Обычный 6 4 3 2 4 2 3" xfId="7824"/>
    <cellStyle name="Обычный 6 4 3 2 4 2 3 2" xfId="14900"/>
    <cellStyle name="Обычный 6 4 3 2 4 2 4" xfId="14901"/>
    <cellStyle name="Обычный 6 4 3 2 4 3" xfId="3734"/>
    <cellStyle name="Обычный 6 4 3 2 4 3 2" xfId="8852"/>
    <cellStyle name="Обычный 6 4 3 2 4 3 2 2" xfId="14902"/>
    <cellStyle name="Обычный 6 4 3 2 4 3 3" xfId="14903"/>
    <cellStyle name="Обычный 6 4 3 2 4 4" xfId="6796"/>
    <cellStyle name="Обычный 6 4 3 2 4 4 2" xfId="14904"/>
    <cellStyle name="Обычный 6 4 3 2 4 5" xfId="14905"/>
    <cellStyle name="Обычный 6 4 3 2 5" xfId="1286"/>
    <cellStyle name="Обычный 6 4 3 2 5 2" xfId="2395"/>
    <cellStyle name="Обычный 6 4 3 2 5 2 2" xfId="4933"/>
    <cellStyle name="Обычный 6 4 3 2 5 2 2 2" xfId="10051"/>
    <cellStyle name="Обычный 6 4 3 2 5 2 2 2 2" xfId="14906"/>
    <cellStyle name="Обычный 6 4 3 2 5 2 2 3" xfId="14907"/>
    <cellStyle name="Обычный 6 4 3 2 5 2 3" xfId="7995"/>
    <cellStyle name="Обычный 6 4 3 2 5 2 3 2" xfId="14908"/>
    <cellStyle name="Обычный 6 4 3 2 5 2 4" xfId="14909"/>
    <cellStyle name="Обычный 6 4 3 2 5 3" xfId="3905"/>
    <cellStyle name="Обычный 6 4 3 2 5 3 2" xfId="9023"/>
    <cellStyle name="Обычный 6 4 3 2 5 3 2 2" xfId="14910"/>
    <cellStyle name="Обычный 6 4 3 2 5 3 3" xfId="14911"/>
    <cellStyle name="Обычный 6 4 3 2 5 4" xfId="6967"/>
    <cellStyle name="Обычный 6 4 3 2 5 4 2" xfId="14912"/>
    <cellStyle name="Обычный 6 4 3 2 5 5" xfId="14913"/>
    <cellStyle name="Обычный 6 4 3 2 6" xfId="1460"/>
    <cellStyle name="Обычный 6 4 3 2 6 2" xfId="2566"/>
    <cellStyle name="Обычный 6 4 3 2 6 2 2" xfId="5104"/>
    <cellStyle name="Обычный 6 4 3 2 6 2 2 2" xfId="10222"/>
    <cellStyle name="Обычный 6 4 3 2 6 2 2 2 2" xfId="14914"/>
    <cellStyle name="Обычный 6 4 3 2 6 2 2 3" xfId="14915"/>
    <cellStyle name="Обычный 6 4 3 2 6 2 3" xfId="8166"/>
    <cellStyle name="Обычный 6 4 3 2 6 2 3 2" xfId="14916"/>
    <cellStyle name="Обычный 6 4 3 2 6 2 4" xfId="14917"/>
    <cellStyle name="Обычный 6 4 3 2 6 3" xfId="4076"/>
    <cellStyle name="Обычный 6 4 3 2 6 3 2" xfId="9194"/>
    <cellStyle name="Обычный 6 4 3 2 6 3 2 2" xfId="14918"/>
    <cellStyle name="Обычный 6 4 3 2 6 3 3" xfId="14919"/>
    <cellStyle name="Обычный 6 4 3 2 6 4" xfId="7138"/>
    <cellStyle name="Обычный 6 4 3 2 6 4 2" xfId="14920"/>
    <cellStyle name="Обычный 6 4 3 2 6 5" xfId="14921"/>
    <cellStyle name="Обычный 6 4 3 2 7" xfId="1631"/>
    <cellStyle name="Обычный 6 4 3 2 7 2" xfId="2737"/>
    <cellStyle name="Обычный 6 4 3 2 7 2 2" xfId="5275"/>
    <cellStyle name="Обычный 6 4 3 2 7 2 2 2" xfId="10393"/>
    <cellStyle name="Обычный 6 4 3 2 7 2 2 2 2" xfId="14922"/>
    <cellStyle name="Обычный 6 4 3 2 7 2 2 3" xfId="14923"/>
    <cellStyle name="Обычный 6 4 3 2 7 2 3" xfId="8337"/>
    <cellStyle name="Обычный 6 4 3 2 7 2 3 2" xfId="14924"/>
    <cellStyle name="Обычный 6 4 3 2 7 2 4" xfId="14925"/>
    <cellStyle name="Обычный 6 4 3 2 7 3" xfId="4247"/>
    <cellStyle name="Обычный 6 4 3 2 7 3 2" xfId="9365"/>
    <cellStyle name="Обычный 6 4 3 2 7 3 2 2" xfId="14926"/>
    <cellStyle name="Обычный 6 4 3 2 7 3 3" xfId="14927"/>
    <cellStyle name="Обычный 6 4 3 2 7 4" xfId="7309"/>
    <cellStyle name="Обычный 6 4 3 2 7 4 2" xfId="14928"/>
    <cellStyle name="Обычный 6 4 3 2 7 5" xfId="14929"/>
    <cellStyle name="Обычный 6 4 3 2 8" xfId="3049"/>
    <cellStyle name="Обычный 6 4 4" xfId="353"/>
    <cellStyle name="Обычный 6 4 4 2" xfId="354"/>
    <cellStyle name="Обычный 6 4 4 2 2" xfId="748"/>
    <cellStyle name="Обычный 6 4 4 2 2 2" xfId="1876"/>
    <cellStyle name="Обычный 6 4 4 2 2 2 2" xfId="4419"/>
    <cellStyle name="Обычный 6 4 4 2 2 2 2 2" xfId="9537"/>
    <cellStyle name="Обычный 6 4 4 2 2 2 2 2 2" xfId="14930"/>
    <cellStyle name="Обычный 6 4 4 2 2 2 2 3" xfId="14931"/>
    <cellStyle name="Обычный 6 4 4 2 2 2 3" xfId="7481"/>
    <cellStyle name="Обычный 6 4 4 2 2 2 3 2" xfId="14932"/>
    <cellStyle name="Обычный 6 4 4 2 2 2 4" xfId="14933"/>
    <cellStyle name="Обычный 6 4 4 2 2 3" xfId="3391"/>
    <cellStyle name="Обычный 6 4 4 2 2 3 2" xfId="8509"/>
    <cellStyle name="Обычный 6 4 4 2 2 3 2 2" xfId="14934"/>
    <cellStyle name="Обычный 6 4 4 2 2 3 3" xfId="14935"/>
    <cellStyle name="Обычный 6 4 4 2 2 4" xfId="6453"/>
    <cellStyle name="Обычный 6 4 4 2 2 4 2" xfId="14936"/>
    <cellStyle name="Обычный 6 4 4 2 2 5" xfId="14937"/>
    <cellStyle name="Обычный 6 4 4 2 3" xfId="935"/>
    <cellStyle name="Обычный 6 4 4 2 3 2" xfId="2054"/>
    <cellStyle name="Обычный 6 4 4 2 3 2 2" xfId="4592"/>
    <cellStyle name="Обычный 6 4 4 2 3 2 2 2" xfId="9710"/>
    <cellStyle name="Обычный 6 4 4 2 3 2 2 2 2" xfId="14938"/>
    <cellStyle name="Обычный 6 4 4 2 3 2 2 3" xfId="14939"/>
    <cellStyle name="Обычный 6 4 4 2 3 2 3" xfId="7654"/>
    <cellStyle name="Обычный 6 4 4 2 3 2 3 2" xfId="14940"/>
    <cellStyle name="Обычный 6 4 4 2 3 2 4" xfId="14941"/>
    <cellStyle name="Обычный 6 4 4 2 3 3" xfId="3564"/>
    <cellStyle name="Обычный 6 4 4 2 3 3 2" xfId="8682"/>
    <cellStyle name="Обычный 6 4 4 2 3 3 2 2" xfId="14942"/>
    <cellStyle name="Обычный 6 4 4 2 3 3 3" xfId="14943"/>
    <cellStyle name="Обычный 6 4 4 2 3 4" xfId="6626"/>
    <cellStyle name="Обычный 6 4 4 2 3 4 2" xfId="14944"/>
    <cellStyle name="Обычный 6 4 4 2 3 5" xfId="14945"/>
    <cellStyle name="Обычный 6 4 4 2 4" xfId="1106"/>
    <cellStyle name="Обычный 6 4 4 2 4 2" xfId="2225"/>
    <cellStyle name="Обычный 6 4 4 2 4 2 2" xfId="4763"/>
    <cellStyle name="Обычный 6 4 4 2 4 2 2 2" xfId="9881"/>
    <cellStyle name="Обычный 6 4 4 2 4 2 2 2 2" xfId="14946"/>
    <cellStyle name="Обычный 6 4 4 2 4 2 2 3" xfId="14947"/>
    <cellStyle name="Обычный 6 4 4 2 4 2 3" xfId="7825"/>
    <cellStyle name="Обычный 6 4 4 2 4 2 3 2" xfId="14948"/>
    <cellStyle name="Обычный 6 4 4 2 4 2 4" xfId="14949"/>
    <cellStyle name="Обычный 6 4 4 2 4 3" xfId="3735"/>
    <cellStyle name="Обычный 6 4 4 2 4 3 2" xfId="8853"/>
    <cellStyle name="Обычный 6 4 4 2 4 3 2 2" xfId="14950"/>
    <cellStyle name="Обычный 6 4 4 2 4 3 3" xfId="14951"/>
    <cellStyle name="Обычный 6 4 4 2 4 4" xfId="6797"/>
    <cellStyle name="Обычный 6 4 4 2 4 4 2" xfId="14952"/>
    <cellStyle name="Обычный 6 4 4 2 4 5" xfId="14953"/>
    <cellStyle name="Обычный 6 4 4 2 5" xfId="1287"/>
    <cellStyle name="Обычный 6 4 4 2 5 2" xfId="2396"/>
    <cellStyle name="Обычный 6 4 4 2 5 2 2" xfId="4934"/>
    <cellStyle name="Обычный 6 4 4 2 5 2 2 2" xfId="10052"/>
    <cellStyle name="Обычный 6 4 4 2 5 2 2 2 2" xfId="14954"/>
    <cellStyle name="Обычный 6 4 4 2 5 2 2 3" xfId="14955"/>
    <cellStyle name="Обычный 6 4 4 2 5 2 3" xfId="7996"/>
    <cellStyle name="Обычный 6 4 4 2 5 2 3 2" xfId="14956"/>
    <cellStyle name="Обычный 6 4 4 2 5 2 4" xfId="14957"/>
    <cellStyle name="Обычный 6 4 4 2 5 3" xfId="3906"/>
    <cellStyle name="Обычный 6 4 4 2 5 3 2" xfId="9024"/>
    <cellStyle name="Обычный 6 4 4 2 5 3 2 2" xfId="14958"/>
    <cellStyle name="Обычный 6 4 4 2 5 3 3" xfId="14959"/>
    <cellStyle name="Обычный 6 4 4 2 5 4" xfId="6968"/>
    <cellStyle name="Обычный 6 4 4 2 5 4 2" xfId="14960"/>
    <cellStyle name="Обычный 6 4 4 2 5 5" xfId="14961"/>
    <cellStyle name="Обычный 6 4 4 2 6" xfId="1461"/>
    <cellStyle name="Обычный 6 4 4 2 6 2" xfId="2567"/>
    <cellStyle name="Обычный 6 4 4 2 6 2 2" xfId="5105"/>
    <cellStyle name="Обычный 6 4 4 2 6 2 2 2" xfId="10223"/>
    <cellStyle name="Обычный 6 4 4 2 6 2 2 2 2" xfId="14962"/>
    <cellStyle name="Обычный 6 4 4 2 6 2 2 3" xfId="14963"/>
    <cellStyle name="Обычный 6 4 4 2 6 2 3" xfId="8167"/>
    <cellStyle name="Обычный 6 4 4 2 6 2 3 2" xfId="14964"/>
    <cellStyle name="Обычный 6 4 4 2 6 2 4" xfId="14965"/>
    <cellStyle name="Обычный 6 4 4 2 6 3" xfId="4077"/>
    <cellStyle name="Обычный 6 4 4 2 6 3 2" xfId="9195"/>
    <cellStyle name="Обычный 6 4 4 2 6 3 2 2" xfId="14966"/>
    <cellStyle name="Обычный 6 4 4 2 6 3 3" xfId="14967"/>
    <cellStyle name="Обычный 6 4 4 2 6 4" xfId="7139"/>
    <cellStyle name="Обычный 6 4 4 2 6 4 2" xfId="14968"/>
    <cellStyle name="Обычный 6 4 4 2 6 5" xfId="14969"/>
    <cellStyle name="Обычный 6 4 4 2 7" xfId="1632"/>
    <cellStyle name="Обычный 6 4 4 2 7 2" xfId="2738"/>
    <cellStyle name="Обычный 6 4 4 2 7 2 2" xfId="5276"/>
    <cellStyle name="Обычный 6 4 4 2 7 2 2 2" xfId="10394"/>
    <cellStyle name="Обычный 6 4 4 2 7 2 2 2 2" xfId="14970"/>
    <cellStyle name="Обычный 6 4 4 2 7 2 2 3" xfId="14971"/>
    <cellStyle name="Обычный 6 4 4 2 7 2 3" xfId="8338"/>
    <cellStyle name="Обычный 6 4 4 2 7 2 3 2" xfId="14972"/>
    <cellStyle name="Обычный 6 4 4 2 7 2 4" xfId="14973"/>
    <cellStyle name="Обычный 6 4 4 2 7 3" xfId="4248"/>
    <cellStyle name="Обычный 6 4 4 2 7 3 2" xfId="9366"/>
    <cellStyle name="Обычный 6 4 4 2 7 3 2 2" xfId="14974"/>
    <cellStyle name="Обычный 6 4 4 2 7 3 3" xfId="14975"/>
    <cellStyle name="Обычный 6 4 4 2 7 4" xfId="7310"/>
    <cellStyle name="Обычный 6 4 4 2 7 4 2" xfId="14976"/>
    <cellStyle name="Обычный 6 4 4 2 7 5" xfId="14977"/>
    <cellStyle name="Обычный 6 4 4 2 8" xfId="3050"/>
    <cellStyle name="Обычный 6 4 5" xfId="355"/>
    <cellStyle name="Обычный 6 4 5 2" xfId="749"/>
    <cellStyle name="Обычный 6 4 5 2 2" xfId="1877"/>
    <cellStyle name="Обычный 6 4 5 2 2 2" xfId="4420"/>
    <cellStyle name="Обычный 6 4 5 2 2 2 2" xfId="9538"/>
    <cellStyle name="Обычный 6 4 5 2 2 2 2 2" xfId="14978"/>
    <cellStyle name="Обычный 6 4 5 2 2 2 3" xfId="14979"/>
    <cellStyle name="Обычный 6 4 5 2 2 3" xfId="7482"/>
    <cellStyle name="Обычный 6 4 5 2 2 3 2" xfId="14980"/>
    <cellStyle name="Обычный 6 4 5 2 2 4" xfId="14981"/>
    <cellStyle name="Обычный 6 4 5 2 3" xfId="3392"/>
    <cellStyle name="Обычный 6 4 5 2 3 2" xfId="8510"/>
    <cellStyle name="Обычный 6 4 5 2 3 2 2" xfId="14982"/>
    <cellStyle name="Обычный 6 4 5 2 3 3" xfId="14983"/>
    <cellStyle name="Обычный 6 4 5 2 4" xfId="6454"/>
    <cellStyle name="Обычный 6 4 5 2 4 2" xfId="14984"/>
    <cellStyle name="Обычный 6 4 5 2 5" xfId="14985"/>
    <cellStyle name="Обычный 6 4 5 3" xfId="936"/>
    <cellStyle name="Обычный 6 4 5 3 2" xfId="2055"/>
    <cellStyle name="Обычный 6 4 5 3 2 2" xfId="4593"/>
    <cellStyle name="Обычный 6 4 5 3 2 2 2" xfId="9711"/>
    <cellStyle name="Обычный 6 4 5 3 2 2 2 2" xfId="14986"/>
    <cellStyle name="Обычный 6 4 5 3 2 2 3" xfId="14987"/>
    <cellStyle name="Обычный 6 4 5 3 2 3" xfId="7655"/>
    <cellStyle name="Обычный 6 4 5 3 2 3 2" xfId="14988"/>
    <cellStyle name="Обычный 6 4 5 3 2 4" xfId="14989"/>
    <cellStyle name="Обычный 6 4 5 3 3" xfId="3565"/>
    <cellStyle name="Обычный 6 4 5 3 3 2" xfId="8683"/>
    <cellStyle name="Обычный 6 4 5 3 3 2 2" xfId="14990"/>
    <cellStyle name="Обычный 6 4 5 3 3 3" xfId="14991"/>
    <cellStyle name="Обычный 6 4 5 3 4" xfId="6627"/>
    <cellStyle name="Обычный 6 4 5 3 4 2" xfId="14992"/>
    <cellStyle name="Обычный 6 4 5 3 5" xfId="14993"/>
    <cellStyle name="Обычный 6 4 5 4" xfId="1107"/>
    <cellStyle name="Обычный 6 4 5 4 2" xfId="2226"/>
    <cellStyle name="Обычный 6 4 5 4 2 2" xfId="4764"/>
    <cellStyle name="Обычный 6 4 5 4 2 2 2" xfId="9882"/>
    <cellStyle name="Обычный 6 4 5 4 2 2 2 2" xfId="14994"/>
    <cellStyle name="Обычный 6 4 5 4 2 2 3" xfId="14995"/>
    <cellStyle name="Обычный 6 4 5 4 2 3" xfId="7826"/>
    <cellStyle name="Обычный 6 4 5 4 2 3 2" xfId="14996"/>
    <cellStyle name="Обычный 6 4 5 4 2 4" xfId="14997"/>
    <cellStyle name="Обычный 6 4 5 4 3" xfId="3736"/>
    <cellStyle name="Обычный 6 4 5 4 3 2" xfId="8854"/>
    <cellStyle name="Обычный 6 4 5 4 3 2 2" xfId="14998"/>
    <cellStyle name="Обычный 6 4 5 4 3 3" xfId="14999"/>
    <cellStyle name="Обычный 6 4 5 4 4" xfId="6798"/>
    <cellStyle name="Обычный 6 4 5 4 4 2" xfId="15000"/>
    <cellStyle name="Обычный 6 4 5 4 5" xfId="15001"/>
    <cellStyle name="Обычный 6 4 5 5" xfId="1288"/>
    <cellStyle name="Обычный 6 4 5 5 2" xfId="2397"/>
    <cellStyle name="Обычный 6 4 5 5 2 2" xfId="4935"/>
    <cellStyle name="Обычный 6 4 5 5 2 2 2" xfId="10053"/>
    <cellStyle name="Обычный 6 4 5 5 2 2 2 2" xfId="15002"/>
    <cellStyle name="Обычный 6 4 5 5 2 2 3" xfId="15003"/>
    <cellStyle name="Обычный 6 4 5 5 2 3" xfId="7997"/>
    <cellStyle name="Обычный 6 4 5 5 2 3 2" xfId="15004"/>
    <cellStyle name="Обычный 6 4 5 5 2 4" xfId="15005"/>
    <cellStyle name="Обычный 6 4 5 5 3" xfId="3907"/>
    <cellStyle name="Обычный 6 4 5 5 3 2" xfId="9025"/>
    <cellStyle name="Обычный 6 4 5 5 3 2 2" xfId="15006"/>
    <cellStyle name="Обычный 6 4 5 5 3 3" xfId="15007"/>
    <cellStyle name="Обычный 6 4 5 5 4" xfId="6969"/>
    <cellStyle name="Обычный 6 4 5 5 4 2" xfId="15008"/>
    <cellStyle name="Обычный 6 4 5 5 5" xfId="15009"/>
    <cellStyle name="Обычный 6 4 5 6" xfId="1462"/>
    <cellStyle name="Обычный 6 4 5 6 2" xfId="2568"/>
    <cellStyle name="Обычный 6 4 5 6 2 2" xfId="5106"/>
    <cellStyle name="Обычный 6 4 5 6 2 2 2" xfId="10224"/>
    <cellStyle name="Обычный 6 4 5 6 2 2 2 2" xfId="15010"/>
    <cellStyle name="Обычный 6 4 5 6 2 2 3" xfId="15011"/>
    <cellStyle name="Обычный 6 4 5 6 2 3" xfId="8168"/>
    <cellStyle name="Обычный 6 4 5 6 2 3 2" xfId="15012"/>
    <cellStyle name="Обычный 6 4 5 6 2 4" xfId="15013"/>
    <cellStyle name="Обычный 6 4 5 6 3" xfId="4078"/>
    <cellStyle name="Обычный 6 4 5 6 3 2" xfId="9196"/>
    <cellStyle name="Обычный 6 4 5 6 3 2 2" xfId="15014"/>
    <cellStyle name="Обычный 6 4 5 6 3 3" xfId="15015"/>
    <cellStyle name="Обычный 6 4 5 6 4" xfId="7140"/>
    <cellStyle name="Обычный 6 4 5 6 4 2" xfId="15016"/>
    <cellStyle name="Обычный 6 4 5 6 5" xfId="15017"/>
    <cellStyle name="Обычный 6 4 5 7" xfId="1633"/>
    <cellStyle name="Обычный 6 4 5 7 2" xfId="2739"/>
    <cellStyle name="Обычный 6 4 5 7 2 2" xfId="5277"/>
    <cellStyle name="Обычный 6 4 5 7 2 2 2" xfId="10395"/>
    <cellStyle name="Обычный 6 4 5 7 2 2 2 2" xfId="15018"/>
    <cellStyle name="Обычный 6 4 5 7 2 2 3" xfId="15019"/>
    <cellStyle name="Обычный 6 4 5 7 2 3" xfId="8339"/>
    <cellStyle name="Обычный 6 4 5 7 2 3 2" xfId="15020"/>
    <cellStyle name="Обычный 6 4 5 7 2 4" xfId="15021"/>
    <cellStyle name="Обычный 6 4 5 7 3" xfId="4249"/>
    <cellStyle name="Обычный 6 4 5 7 3 2" xfId="9367"/>
    <cellStyle name="Обычный 6 4 5 7 3 2 2" xfId="15022"/>
    <cellStyle name="Обычный 6 4 5 7 3 3" xfId="15023"/>
    <cellStyle name="Обычный 6 4 5 7 4" xfId="7311"/>
    <cellStyle name="Обычный 6 4 5 7 4 2" xfId="15024"/>
    <cellStyle name="Обычный 6 4 5 7 5" xfId="15025"/>
    <cellStyle name="Обычный 6 4 5 8" xfId="3051"/>
    <cellStyle name="Обычный 6 5" xfId="356"/>
    <cellStyle name="Обычный 6 5 2" xfId="357"/>
    <cellStyle name="Обычный 6 5 2 2" xfId="358"/>
    <cellStyle name="Обычный 6 5 2 2 2" xfId="750"/>
    <cellStyle name="Обычный 6 5 2 2 2 2" xfId="1878"/>
    <cellStyle name="Обычный 6 5 2 2 2 2 2" xfId="4421"/>
    <cellStyle name="Обычный 6 5 2 2 2 2 2 2" xfId="9539"/>
    <cellStyle name="Обычный 6 5 2 2 2 2 2 2 2" xfId="15026"/>
    <cellStyle name="Обычный 6 5 2 2 2 2 2 3" xfId="15027"/>
    <cellStyle name="Обычный 6 5 2 2 2 2 3" xfId="7483"/>
    <cellStyle name="Обычный 6 5 2 2 2 2 3 2" xfId="15028"/>
    <cellStyle name="Обычный 6 5 2 2 2 2 4" xfId="15029"/>
    <cellStyle name="Обычный 6 5 2 2 2 3" xfId="3393"/>
    <cellStyle name="Обычный 6 5 2 2 2 3 2" xfId="8511"/>
    <cellStyle name="Обычный 6 5 2 2 2 3 2 2" xfId="15030"/>
    <cellStyle name="Обычный 6 5 2 2 2 3 3" xfId="15031"/>
    <cellStyle name="Обычный 6 5 2 2 2 4" xfId="6455"/>
    <cellStyle name="Обычный 6 5 2 2 2 4 2" xfId="15032"/>
    <cellStyle name="Обычный 6 5 2 2 2 5" xfId="15033"/>
    <cellStyle name="Обычный 6 5 2 2 3" xfId="937"/>
    <cellStyle name="Обычный 6 5 2 2 3 2" xfId="2056"/>
    <cellStyle name="Обычный 6 5 2 2 3 2 2" xfId="4594"/>
    <cellStyle name="Обычный 6 5 2 2 3 2 2 2" xfId="9712"/>
    <cellStyle name="Обычный 6 5 2 2 3 2 2 2 2" xfId="15034"/>
    <cellStyle name="Обычный 6 5 2 2 3 2 2 3" xfId="15035"/>
    <cellStyle name="Обычный 6 5 2 2 3 2 3" xfId="7656"/>
    <cellStyle name="Обычный 6 5 2 2 3 2 3 2" xfId="15036"/>
    <cellStyle name="Обычный 6 5 2 2 3 2 4" xfId="15037"/>
    <cellStyle name="Обычный 6 5 2 2 3 3" xfId="3566"/>
    <cellStyle name="Обычный 6 5 2 2 3 3 2" xfId="8684"/>
    <cellStyle name="Обычный 6 5 2 2 3 3 2 2" xfId="15038"/>
    <cellStyle name="Обычный 6 5 2 2 3 3 3" xfId="15039"/>
    <cellStyle name="Обычный 6 5 2 2 3 4" xfId="6628"/>
    <cellStyle name="Обычный 6 5 2 2 3 4 2" xfId="15040"/>
    <cellStyle name="Обычный 6 5 2 2 3 5" xfId="15041"/>
    <cellStyle name="Обычный 6 5 2 2 4" xfId="1108"/>
    <cellStyle name="Обычный 6 5 2 2 4 2" xfId="2227"/>
    <cellStyle name="Обычный 6 5 2 2 4 2 2" xfId="4765"/>
    <cellStyle name="Обычный 6 5 2 2 4 2 2 2" xfId="9883"/>
    <cellStyle name="Обычный 6 5 2 2 4 2 2 2 2" xfId="15042"/>
    <cellStyle name="Обычный 6 5 2 2 4 2 2 3" xfId="15043"/>
    <cellStyle name="Обычный 6 5 2 2 4 2 3" xfId="7827"/>
    <cellStyle name="Обычный 6 5 2 2 4 2 3 2" xfId="15044"/>
    <cellStyle name="Обычный 6 5 2 2 4 2 4" xfId="15045"/>
    <cellStyle name="Обычный 6 5 2 2 4 3" xfId="3737"/>
    <cellStyle name="Обычный 6 5 2 2 4 3 2" xfId="8855"/>
    <cellStyle name="Обычный 6 5 2 2 4 3 2 2" xfId="15046"/>
    <cellStyle name="Обычный 6 5 2 2 4 3 3" xfId="15047"/>
    <cellStyle name="Обычный 6 5 2 2 4 4" xfId="6799"/>
    <cellStyle name="Обычный 6 5 2 2 4 4 2" xfId="15048"/>
    <cellStyle name="Обычный 6 5 2 2 4 5" xfId="15049"/>
    <cellStyle name="Обычный 6 5 2 2 5" xfId="1289"/>
    <cellStyle name="Обычный 6 5 2 2 5 2" xfId="2398"/>
    <cellStyle name="Обычный 6 5 2 2 5 2 2" xfId="4936"/>
    <cellStyle name="Обычный 6 5 2 2 5 2 2 2" xfId="10054"/>
    <cellStyle name="Обычный 6 5 2 2 5 2 2 2 2" xfId="15050"/>
    <cellStyle name="Обычный 6 5 2 2 5 2 2 3" xfId="15051"/>
    <cellStyle name="Обычный 6 5 2 2 5 2 3" xfId="7998"/>
    <cellStyle name="Обычный 6 5 2 2 5 2 3 2" xfId="15052"/>
    <cellStyle name="Обычный 6 5 2 2 5 2 4" xfId="15053"/>
    <cellStyle name="Обычный 6 5 2 2 5 3" xfId="3908"/>
    <cellStyle name="Обычный 6 5 2 2 5 3 2" xfId="9026"/>
    <cellStyle name="Обычный 6 5 2 2 5 3 2 2" xfId="15054"/>
    <cellStyle name="Обычный 6 5 2 2 5 3 3" xfId="15055"/>
    <cellStyle name="Обычный 6 5 2 2 5 4" xfId="6970"/>
    <cellStyle name="Обычный 6 5 2 2 5 4 2" xfId="15056"/>
    <cellStyle name="Обычный 6 5 2 2 5 5" xfId="15057"/>
    <cellStyle name="Обычный 6 5 2 2 6" xfId="1463"/>
    <cellStyle name="Обычный 6 5 2 2 6 2" xfId="2569"/>
    <cellStyle name="Обычный 6 5 2 2 6 2 2" xfId="5107"/>
    <cellStyle name="Обычный 6 5 2 2 6 2 2 2" xfId="10225"/>
    <cellStyle name="Обычный 6 5 2 2 6 2 2 2 2" xfId="15058"/>
    <cellStyle name="Обычный 6 5 2 2 6 2 2 3" xfId="15059"/>
    <cellStyle name="Обычный 6 5 2 2 6 2 3" xfId="8169"/>
    <cellStyle name="Обычный 6 5 2 2 6 2 3 2" xfId="15060"/>
    <cellStyle name="Обычный 6 5 2 2 6 2 4" xfId="15061"/>
    <cellStyle name="Обычный 6 5 2 2 6 3" xfId="4079"/>
    <cellStyle name="Обычный 6 5 2 2 6 3 2" xfId="9197"/>
    <cellStyle name="Обычный 6 5 2 2 6 3 2 2" xfId="15062"/>
    <cellStyle name="Обычный 6 5 2 2 6 3 3" xfId="15063"/>
    <cellStyle name="Обычный 6 5 2 2 6 4" xfId="7141"/>
    <cellStyle name="Обычный 6 5 2 2 6 4 2" xfId="15064"/>
    <cellStyle name="Обычный 6 5 2 2 6 5" xfId="15065"/>
    <cellStyle name="Обычный 6 5 2 2 7" xfId="1634"/>
    <cellStyle name="Обычный 6 5 2 2 7 2" xfId="2740"/>
    <cellStyle name="Обычный 6 5 2 2 7 2 2" xfId="5278"/>
    <cellStyle name="Обычный 6 5 2 2 7 2 2 2" xfId="10396"/>
    <cellStyle name="Обычный 6 5 2 2 7 2 2 2 2" xfId="15066"/>
    <cellStyle name="Обычный 6 5 2 2 7 2 2 3" xfId="15067"/>
    <cellStyle name="Обычный 6 5 2 2 7 2 3" xfId="8340"/>
    <cellStyle name="Обычный 6 5 2 2 7 2 3 2" xfId="15068"/>
    <cellStyle name="Обычный 6 5 2 2 7 2 4" xfId="15069"/>
    <cellStyle name="Обычный 6 5 2 2 7 3" xfId="4250"/>
    <cellStyle name="Обычный 6 5 2 2 7 3 2" xfId="9368"/>
    <cellStyle name="Обычный 6 5 2 2 7 3 2 2" xfId="15070"/>
    <cellStyle name="Обычный 6 5 2 2 7 3 3" xfId="15071"/>
    <cellStyle name="Обычный 6 5 2 2 7 4" xfId="7312"/>
    <cellStyle name="Обычный 6 5 2 2 7 4 2" xfId="15072"/>
    <cellStyle name="Обычный 6 5 2 2 7 5" xfId="15073"/>
    <cellStyle name="Обычный 6 5 2 2 8" xfId="3052"/>
    <cellStyle name="Обычный 6 5 3" xfId="359"/>
    <cellStyle name="Обычный 6 5 3 2" xfId="360"/>
    <cellStyle name="Обычный 6 5 3 2 2" xfId="751"/>
    <cellStyle name="Обычный 6 5 3 2 2 2" xfId="1879"/>
    <cellStyle name="Обычный 6 5 3 2 2 2 2" xfId="4422"/>
    <cellStyle name="Обычный 6 5 3 2 2 2 2 2" xfId="9540"/>
    <cellStyle name="Обычный 6 5 3 2 2 2 2 2 2" xfId="15074"/>
    <cellStyle name="Обычный 6 5 3 2 2 2 2 3" xfId="15075"/>
    <cellStyle name="Обычный 6 5 3 2 2 2 3" xfId="7484"/>
    <cellStyle name="Обычный 6 5 3 2 2 2 3 2" xfId="15076"/>
    <cellStyle name="Обычный 6 5 3 2 2 2 4" xfId="15077"/>
    <cellStyle name="Обычный 6 5 3 2 2 3" xfId="3394"/>
    <cellStyle name="Обычный 6 5 3 2 2 3 2" xfId="8512"/>
    <cellStyle name="Обычный 6 5 3 2 2 3 2 2" xfId="15078"/>
    <cellStyle name="Обычный 6 5 3 2 2 3 3" xfId="15079"/>
    <cellStyle name="Обычный 6 5 3 2 2 4" xfId="6456"/>
    <cellStyle name="Обычный 6 5 3 2 2 4 2" xfId="15080"/>
    <cellStyle name="Обычный 6 5 3 2 2 5" xfId="15081"/>
    <cellStyle name="Обычный 6 5 3 2 3" xfId="938"/>
    <cellStyle name="Обычный 6 5 3 2 3 2" xfId="2057"/>
    <cellStyle name="Обычный 6 5 3 2 3 2 2" xfId="4595"/>
    <cellStyle name="Обычный 6 5 3 2 3 2 2 2" xfId="9713"/>
    <cellStyle name="Обычный 6 5 3 2 3 2 2 2 2" xfId="15082"/>
    <cellStyle name="Обычный 6 5 3 2 3 2 2 3" xfId="15083"/>
    <cellStyle name="Обычный 6 5 3 2 3 2 3" xfId="7657"/>
    <cellStyle name="Обычный 6 5 3 2 3 2 3 2" xfId="15084"/>
    <cellStyle name="Обычный 6 5 3 2 3 2 4" xfId="15085"/>
    <cellStyle name="Обычный 6 5 3 2 3 3" xfId="3567"/>
    <cellStyle name="Обычный 6 5 3 2 3 3 2" xfId="8685"/>
    <cellStyle name="Обычный 6 5 3 2 3 3 2 2" xfId="15086"/>
    <cellStyle name="Обычный 6 5 3 2 3 3 3" xfId="15087"/>
    <cellStyle name="Обычный 6 5 3 2 3 4" xfId="6629"/>
    <cellStyle name="Обычный 6 5 3 2 3 4 2" xfId="15088"/>
    <cellStyle name="Обычный 6 5 3 2 3 5" xfId="15089"/>
    <cellStyle name="Обычный 6 5 3 2 4" xfId="1109"/>
    <cellStyle name="Обычный 6 5 3 2 4 2" xfId="2228"/>
    <cellStyle name="Обычный 6 5 3 2 4 2 2" xfId="4766"/>
    <cellStyle name="Обычный 6 5 3 2 4 2 2 2" xfId="9884"/>
    <cellStyle name="Обычный 6 5 3 2 4 2 2 2 2" xfId="15090"/>
    <cellStyle name="Обычный 6 5 3 2 4 2 2 3" xfId="15091"/>
    <cellStyle name="Обычный 6 5 3 2 4 2 3" xfId="7828"/>
    <cellStyle name="Обычный 6 5 3 2 4 2 3 2" xfId="15092"/>
    <cellStyle name="Обычный 6 5 3 2 4 2 4" xfId="15093"/>
    <cellStyle name="Обычный 6 5 3 2 4 3" xfId="3738"/>
    <cellStyle name="Обычный 6 5 3 2 4 3 2" xfId="8856"/>
    <cellStyle name="Обычный 6 5 3 2 4 3 2 2" xfId="15094"/>
    <cellStyle name="Обычный 6 5 3 2 4 3 3" xfId="15095"/>
    <cellStyle name="Обычный 6 5 3 2 4 4" xfId="6800"/>
    <cellStyle name="Обычный 6 5 3 2 4 4 2" xfId="15096"/>
    <cellStyle name="Обычный 6 5 3 2 4 5" xfId="15097"/>
    <cellStyle name="Обычный 6 5 3 2 5" xfId="1290"/>
    <cellStyle name="Обычный 6 5 3 2 5 2" xfId="2399"/>
    <cellStyle name="Обычный 6 5 3 2 5 2 2" xfId="4937"/>
    <cellStyle name="Обычный 6 5 3 2 5 2 2 2" xfId="10055"/>
    <cellStyle name="Обычный 6 5 3 2 5 2 2 2 2" xfId="15098"/>
    <cellStyle name="Обычный 6 5 3 2 5 2 2 3" xfId="15099"/>
    <cellStyle name="Обычный 6 5 3 2 5 2 3" xfId="7999"/>
    <cellStyle name="Обычный 6 5 3 2 5 2 3 2" xfId="15100"/>
    <cellStyle name="Обычный 6 5 3 2 5 2 4" xfId="15101"/>
    <cellStyle name="Обычный 6 5 3 2 5 3" xfId="3909"/>
    <cellStyle name="Обычный 6 5 3 2 5 3 2" xfId="9027"/>
    <cellStyle name="Обычный 6 5 3 2 5 3 2 2" xfId="15102"/>
    <cellStyle name="Обычный 6 5 3 2 5 3 3" xfId="15103"/>
    <cellStyle name="Обычный 6 5 3 2 5 4" xfId="6971"/>
    <cellStyle name="Обычный 6 5 3 2 5 4 2" xfId="15104"/>
    <cellStyle name="Обычный 6 5 3 2 5 5" xfId="15105"/>
    <cellStyle name="Обычный 6 5 3 2 6" xfId="1464"/>
    <cellStyle name="Обычный 6 5 3 2 6 2" xfId="2570"/>
    <cellStyle name="Обычный 6 5 3 2 6 2 2" xfId="5108"/>
    <cellStyle name="Обычный 6 5 3 2 6 2 2 2" xfId="10226"/>
    <cellStyle name="Обычный 6 5 3 2 6 2 2 2 2" xfId="15106"/>
    <cellStyle name="Обычный 6 5 3 2 6 2 2 3" xfId="15107"/>
    <cellStyle name="Обычный 6 5 3 2 6 2 3" xfId="8170"/>
    <cellStyle name="Обычный 6 5 3 2 6 2 3 2" xfId="15108"/>
    <cellStyle name="Обычный 6 5 3 2 6 2 4" xfId="15109"/>
    <cellStyle name="Обычный 6 5 3 2 6 3" xfId="4080"/>
    <cellStyle name="Обычный 6 5 3 2 6 3 2" xfId="9198"/>
    <cellStyle name="Обычный 6 5 3 2 6 3 2 2" xfId="15110"/>
    <cellStyle name="Обычный 6 5 3 2 6 3 3" xfId="15111"/>
    <cellStyle name="Обычный 6 5 3 2 6 4" xfId="7142"/>
    <cellStyle name="Обычный 6 5 3 2 6 4 2" xfId="15112"/>
    <cellStyle name="Обычный 6 5 3 2 6 5" xfId="15113"/>
    <cellStyle name="Обычный 6 5 3 2 7" xfId="1635"/>
    <cellStyle name="Обычный 6 5 3 2 7 2" xfId="2741"/>
    <cellStyle name="Обычный 6 5 3 2 7 2 2" xfId="5279"/>
    <cellStyle name="Обычный 6 5 3 2 7 2 2 2" xfId="10397"/>
    <cellStyle name="Обычный 6 5 3 2 7 2 2 2 2" xfId="15114"/>
    <cellStyle name="Обычный 6 5 3 2 7 2 2 3" xfId="15115"/>
    <cellStyle name="Обычный 6 5 3 2 7 2 3" xfId="8341"/>
    <cellStyle name="Обычный 6 5 3 2 7 2 3 2" xfId="15116"/>
    <cellStyle name="Обычный 6 5 3 2 7 2 4" xfId="15117"/>
    <cellStyle name="Обычный 6 5 3 2 7 3" xfId="4251"/>
    <cellStyle name="Обычный 6 5 3 2 7 3 2" xfId="9369"/>
    <cellStyle name="Обычный 6 5 3 2 7 3 2 2" xfId="15118"/>
    <cellStyle name="Обычный 6 5 3 2 7 3 3" xfId="15119"/>
    <cellStyle name="Обычный 6 5 3 2 7 4" xfId="7313"/>
    <cellStyle name="Обычный 6 5 3 2 7 4 2" xfId="15120"/>
    <cellStyle name="Обычный 6 5 3 2 7 5" xfId="15121"/>
    <cellStyle name="Обычный 6 5 3 2 8" xfId="3053"/>
    <cellStyle name="Обычный 6 5 4" xfId="361"/>
    <cellStyle name="Обычный 6 5 4 2" xfId="752"/>
    <cellStyle name="Обычный 6 5 4 2 2" xfId="1880"/>
    <cellStyle name="Обычный 6 5 4 2 2 2" xfId="4423"/>
    <cellStyle name="Обычный 6 5 4 2 2 2 2" xfId="9541"/>
    <cellStyle name="Обычный 6 5 4 2 2 2 2 2" xfId="15122"/>
    <cellStyle name="Обычный 6 5 4 2 2 2 3" xfId="15123"/>
    <cellStyle name="Обычный 6 5 4 2 2 3" xfId="7485"/>
    <cellStyle name="Обычный 6 5 4 2 2 3 2" xfId="15124"/>
    <cellStyle name="Обычный 6 5 4 2 2 4" xfId="15125"/>
    <cellStyle name="Обычный 6 5 4 2 3" xfId="3395"/>
    <cellStyle name="Обычный 6 5 4 2 3 2" xfId="8513"/>
    <cellStyle name="Обычный 6 5 4 2 3 2 2" xfId="15126"/>
    <cellStyle name="Обычный 6 5 4 2 3 3" xfId="15127"/>
    <cellStyle name="Обычный 6 5 4 2 4" xfId="6457"/>
    <cellStyle name="Обычный 6 5 4 2 4 2" xfId="15128"/>
    <cellStyle name="Обычный 6 5 4 2 5" xfId="15129"/>
    <cellStyle name="Обычный 6 5 4 3" xfId="939"/>
    <cellStyle name="Обычный 6 5 4 3 2" xfId="2058"/>
    <cellStyle name="Обычный 6 5 4 3 2 2" xfId="4596"/>
    <cellStyle name="Обычный 6 5 4 3 2 2 2" xfId="9714"/>
    <cellStyle name="Обычный 6 5 4 3 2 2 2 2" xfId="15130"/>
    <cellStyle name="Обычный 6 5 4 3 2 2 3" xfId="15131"/>
    <cellStyle name="Обычный 6 5 4 3 2 3" xfId="7658"/>
    <cellStyle name="Обычный 6 5 4 3 2 3 2" xfId="15132"/>
    <cellStyle name="Обычный 6 5 4 3 2 4" xfId="15133"/>
    <cellStyle name="Обычный 6 5 4 3 3" xfId="3568"/>
    <cellStyle name="Обычный 6 5 4 3 3 2" xfId="8686"/>
    <cellStyle name="Обычный 6 5 4 3 3 2 2" xfId="15134"/>
    <cellStyle name="Обычный 6 5 4 3 3 3" xfId="15135"/>
    <cellStyle name="Обычный 6 5 4 3 4" xfId="6630"/>
    <cellStyle name="Обычный 6 5 4 3 4 2" xfId="15136"/>
    <cellStyle name="Обычный 6 5 4 3 5" xfId="15137"/>
    <cellStyle name="Обычный 6 5 4 4" xfId="1110"/>
    <cellStyle name="Обычный 6 5 4 4 2" xfId="2229"/>
    <cellStyle name="Обычный 6 5 4 4 2 2" xfId="4767"/>
    <cellStyle name="Обычный 6 5 4 4 2 2 2" xfId="9885"/>
    <cellStyle name="Обычный 6 5 4 4 2 2 2 2" xfId="15138"/>
    <cellStyle name="Обычный 6 5 4 4 2 2 3" xfId="15139"/>
    <cellStyle name="Обычный 6 5 4 4 2 3" xfId="7829"/>
    <cellStyle name="Обычный 6 5 4 4 2 3 2" xfId="15140"/>
    <cellStyle name="Обычный 6 5 4 4 2 4" xfId="15141"/>
    <cellStyle name="Обычный 6 5 4 4 3" xfId="3739"/>
    <cellStyle name="Обычный 6 5 4 4 3 2" xfId="8857"/>
    <cellStyle name="Обычный 6 5 4 4 3 2 2" xfId="15142"/>
    <cellStyle name="Обычный 6 5 4 4 3 3" xfId="15143"/>
    <cellStyle name="Обычный 6 5 4 4 4" xfId="6801"/>
    <cellStyle name="Обычный 6 5 4 4 4 2" xfId="15144"/>
    <cellStyle name="Обычный 6 5 4 4 5" xfId="15145"/>
    <cellStyle name="Обычный 6 5 4 5" xfId="1291"/>
    <cellStyle name="Обычный 6 5 4 5 2" xfId="2400"/>
    <cellStyle name="Обычный 6 5 4 5 2 2" xfId="4938"/>
    <cellStyle name="Обычный 6 5 4 5 2 2 2" xfId="10056"/>
    <cellStyle name="Обычный 6 5 4 5 2 2 2 2" xfId="15146"/>
    <cellStyle name="Обычный 6 5 4 5 2 2 3" xfId="15147"/>
    <cellStyle name="Обычный 6 5 4 5 2 3" xfId="8000"/>
    <cellStyle name="Обычный 6 5 4 5 2 3 2" xfId="15148"/>
    <cellStyle name="Обычный 6 5 4 5 2 4" xfId="15149"/>
    <cellStyle name="Обычный 6 5 4 5 3" xfId="3910"/>
    <cellStyle name="Обычный 6 5 4 5 3 2" xfId="9028"/>
    <cellStyle name="Обычный 6 5 4 5 3 2 2" xfId="15150"/>
    <cellStyle name="Обычный 6 5 4 5 3 3" xfId="15151"/>
    <cellStyle name="Обычный 6 5 4 5 4" xfId="6972"/>
    <cellStyle name="Обычный 6 5 4 5 4 2" xfId="15152"/>
    <cellStyle name="Обычный 6 5 4 5 5" xfId="15153"/>
    <cellStyle name="Обычный 6 5 4 6" xfId="1465"/>
    <cellStyle name="Обычный 6 5 4 6 2" xfId="2571"/>
    <cellStyle name="Обычный 6 5 4 6 2 2" xfId="5109"/>
    <cellStyle name="Обычный 6 5 4 6 2 2 2" xfId="10227"/>
    <cellStyle name="Обычный 6 5 4 6 2 2 2 2" xfId="15154"/>
    <cellStyle name="Обычный 6 5 4 6 2 2 3" xfId="15155"/>
    <cellStyle name="Обычный 6 5 4 6 2 3" xfId="8171"/>
    <cellStyle name="Обычный 6 5 4 6 2 3 2" xfId="15156"/>
    <cellStyle name="Обычный 6 5 4 6 2 4" xfId="15157"/>
    <cellStyle name="Обычный 6 5 4 6 3" xfId="4081"/>
    <cellStyle name="Обычный 6 5 4 6 3 2" xfId="9199"/>
    <cellStyle name="Обычный 6 5 4 6 3 2 2" xfId="15158"/>
    <cellStyle name="Обычный 6 5 4 6 3 3" xfId="15159"/>
    <cellStyle name="Обычный 6 5 4 6 4" xfId="7143"/>
    <cellStyle name="Обычный 6 5 4 6 4 2" xfId="15160"/>
    <cellStyle name="Обычный 6 5 4 6 5" xfId="15161"/>
    <cellStyle name="Обычный 6 5 4 7" xfId="1636"/>
    <cellStyle name="Обычный 6 5 4 7 2" xfId="2742"/>
    <cellStyle name="Обычный 6 5 4 7 2 2" xfId="5280"/>
    <cellStyle name="Обычный 6 5 4 7 2 2 2" xfId="10398"/>
    <cellStyle name="Обычный 6 5 4 7 2 2 2 2" xfId="15162"/>
    <cellStyle name="Обычный 6 5 4 7 2 2 3" xfId="15163"/>
    <cellStyle name="Обычный 6 5 4 7 2 3" xfId="8342"/>
    <cellStyle name="Обычный 6 5 4 7 2 3 2" xfId="15164"/>
    <cellStyle name="Обычный 6 5 4 7 2 4" xfId="15165"/>
    <cellStyle name="Обычный 6 5 4 7 3" xfId="4252"/>
    <cellStyle name="Обычный 6 5 4 7 3 2" xfId="9370"/>
    <cellStyle name="Обычный 6 5 4 7 3 2 2" xfId="15166"/>
    <cellStyle name="Обычный 6 5 4 7 3 3" xfId="15167"/>
    <cellStyle name="Обычный 6 5 4 7 4" xfId="7314"/>
    <cellStyle name="Обычный 6 5 4 7 4 2" xfId="15168"/>
    <cellStyle name="Обычный 6 5 4 7 5" xfId="15169"/>
    <cellStyle name="Обычный 6 5 4 8" xfId="3054"/>
    <cellStyle name="Обычный 6 6" xfId="362"/>
    <cellStyle name="Обычный 6 6 2" xfId="363"/>
    <cellStyle name="Обычный 6 6 2 2" xfId="753"/>
    <cellStyle name="Обычный 6 6 2 2 2" xfId="1881"/>
    <cellStyle name="Обычный 6 6 2 2 2 2" xfId="4424"/>
    <cellStyle name="Обычный 6 6 2 2 2 2 2" xfId="9542"/>
    <cellStyle name="Обычный 6 6 2 2 2 2 2 2" xfId="15170"/>
    <cellStyle name="Обычный 6 6 2 2 2 2 3" xfId="15171"/>
    <cellStyle name="Обычный 6 6 2 2 2 3" xfId="7486"/>
    <cellStyle name="Обычный 6 6 2 2 2 3 2" xfId="15172"/>
    <cellStyle name="Обычный 6 6 2 2 2 4" xfId="15173"/>
    <cellStyle name="Обычный 6 6 2 2 3" xfId="3396"/>
    <cellStyle name="Обычный 6 6 2 2 3 2" xfId="8514"/>
    <cellStyle name="Обычный 6 6 2 2 3 2 2" xfId="15174"/>
    <cellStyle name="Обычный 6 6 2 2 3 3" xfId="15175"/>
    <cellStyle name="Обычный 6 6 2 2 4" xfId="6458"/>
    <cellStyle name="Обычный 6 6 2 2 4 2" xfId="15176"/>
    <cellStyle name="Обычный 6 6 2 2 5" xfId="15177"/>
    <cellStyle name="Обычный 6 6 2 3" xfId="940"/>
    <cellStyle name="Обычный 6 6 2 3 2" xfId="2059"/>
    <cellStyle name="Обычный 6 6 2 3 2 2" xfId="4597"/>
    <cellStyle name="Обычный 6 6 2 3 2 2 2" xfId="9715"/>
    <cellStyle name="Обычный 6 6 2 3 2 2 2 2" xfId="15178"/>
    <cellStyle name="Обычный 6 6 2 3 2 2 3" xfId="15179"/>
    <cellStyle name="Обычный 6 6 2 3 2 3" xfId="7659"/>
    <cellStyle name="Обычный 6 6 2 3 2 3 2" xfId="15180"/>
    <cellStyle name="Обычный 6 6 2 3 2 4" xfId="15181"/>
    <cellStyle name="Обычный 6 6 2 3 3" xfId="3569"/>
    <cellStyle name="Обычный 6 6 2 3 3 2" xfId="8687"/>
    <cellStyle name="Обычный 6 6 2 3 3 2 2" xfId="15182"/>
    <cellStyle name="Обычный 6 6 2 3 3 3" xfId="15183"/>
    <cellStyle name="Обычный 6 6 2 3 4" xfId="6631"/>
    <cellStyle name="Обычный 6 6 2 3 4 2" xfId="15184"/>
    <cellStyle name="Обычный 6 6 2 3 5" xfId="15185"/>
    <cellStyle name="Обычный 6 6 2 4" xfId="1111"/>
    <cellStyle name="Обычный 6 6 2 4 2" xfId="2230"/>
    <cellStyle name="Обычный 6 6 2 4 2 2" xfId="4768"/>
    <cellStyle name="Обычный 6 6 2 4 2 2 2" xfId="9886"/>
    <cellStyle name="Обычный 6 6 2 4 2 2 2 2" xfId="15186"/>
    <cellStyle name="Обычный 6 6 2 4 2 2 3" xfId="15187"/>
    <cellStyle name="Обычный 6 6 2 4 2 3" xfId="7830"/>
    <cellStyle name="Обычный 6 6 2 4 2 3 2" xfId="15188"/>
    <cellStyle name="Обычный 6 6 2 4 2 4" xfId="15189"/>
    <cellStyle name="Обычный 6 6 2 4 3" xfId="3740"/>
    <cellStyle name="Обычный 6 6 2 4 3 2" xfId="8858"/>
    <cellStyle name="Обычный 6 6 2 4 3 2 2" xfId="15190"/>
    <cellStyle name="Обычный 6 6 2 4 3 3" xfId="15191"/>
    <cellStyle name="Обычный 6 6 2 4 4" xfId="6802"/>
    <cellStyle name="Обычный 6 6 2 4 4 2" xfId="15192"/>
    <cellStyle name="Обычный 6 6 2 4 5" xfId="15193"/>
    <cellStyle name="Обычный 6 6 2 5" xfId="1292"/>
    <cellStyle name="Обычный 6 6 2 5 2" xfId="2401"/>
    <cellStyle name="Обычный 6 6 2 5 2 2" xfId="4939"/>
    <cellStyle name="Обычный 6 6 2 5 2 2 2" xfId="10057"/>
    <cellStyle name="Обычный 6 6 2 5 2 2 2 2" xfId="15194"/>
    <cellStyle name="Обычный 6 6 2 5 2 2 3" xfId="15195"/>
    <cellStyle name="Обычный 6 6 2 5 2 3" xfId="8001"/>
    <cellStyle name="Обычный 6 6 2 5 2 3 2" xfId="15196"/>
    <cellStyle name="Обычный 6 6 2 5 2 4" xfId="15197"/>
    <cellStyle name="Обычный 6 6 2 5 3" xfId="3911"/>
    <cellStyle name="Обычный 6 6 2 5 3 2" xfId="9029"/>
    <cellStyle name="Обычный 6 6 2 5 3 2 2" xfId="15198"/>
    <cellStyle name="Обычный 6 6 2 5 3 3" xfId="15199"/>
    <cellStyle name="Обычный 6 6 2 5 4" xfId="6973"/>
    <cellStyle name="Обычный 6 6 2 5 4 2" xfId="15200"/>
    <cellStyle name="Обычный 6 6 2 5 5" xfId="15201"/>
    <cellStyle name="Обычный 6 6 2 6" xfId="1466"/>
    <cellStyle name="Обычный 6 6 2 6 2" xfId="2572"/>
    <cellStyle name="Обычный 6 6 2 6 2 2" xfId="5110"/>
    <cellStyle name="Обычный 6 6 2 6 2 2 2" xfId="10228"/>
    <cellStyle name="Обычный 6 6 2 6 2 2 2 2" xfId="15202"/>
    <cellStyle name="Обычный 6 6 2 6 2 2 3" xfId="15203"/>
    <cellStyle name="Обычный 6 6 2 6 2 3" xfId="8172"/>
    <cellStyle name="Обычный 6 6 2 6 2 3 2" xfId="15204"/>
    <cellStyle name="Обычный 6 6 2 6 2 4" xfId="15205"/>
    <cellStyle name="Обычный 6 6 2 6 3" xfId="4082"/>
    <cellStyle name="Обычный 6 6 2 6 3 2" xfId="9200"/>
    <cellStyle name="Обычный 6 6 2 6 3 2 2" xfId="15206"/>
    <cellStyle name="Обычный 6 6 2 6 3 3" xfId="15207"/>
    <cellStyle name="Обычный 6 6 2 6 4" xfId="7144"/>
    <cellStyle name="Обычный 6 6 2 6 4 2" xfId="15208"/>
    <cellStyle name="Обычный 6 6 2 6 5" xfId="15209"/>
    <cellStyle name="Обычный 6 6 2 7" xfId="1637"/>
    <cellStyle name="Обычный 6 6 2 7 2" xfId="2743"/>
    <cellStyle name="Обычный 6 6 2 7 2 2" xfId="5281"/>
    <cellStyle name="Обычный 6 6 2 7 2 2 2" xfId="10399"/>
    <cellStyle name="Обычный 6 6 2 7 2 2 2 2" xfId="15210"/>
    <cellStyle name="Обычный 6 6 2 7 2 2 3" xfId="15211"/>
    <cellStyle name="Обычный 6 6 2 7 2 3" xfId="8343"/>
    <cellStyle name="Обычный 6 6 2 7 2 3 2" xfId="15212"/>
    <cellStyle name="Обычный 6 6 2 7 2 4" xfId="15213"/>
    <cellStyle name="Обычный 6 6 2 7 3" xfId="4253"/>
    <cellStyle name="Обычный 6 6 2 7 3 2" xfId="9371"/>
    <cellStyle name="Обычный 6 6 2 7 3 2 2" xfId="15214"/>
    <cellStyle name="Обычный 6 6 2 7 3 3" xfId="15215"/>
    <cellStyle name="Обычный 6 6 2 7 4" xfId="7315"/>
    <cellStyle name="Обычный 6 6 2 7 4 2" xfId="15216"/>
    <cellStyle name="Обычный 6 6 2 7 5" xfId="15217"/>
    <cellStyle name="Обычный 6 6 2 8" xfId="3055"/>
    <cellStyle name="Обычный 6 7" xfId="364"/>
    <cellStyle name="Обычный 6 7 2" xfId="365"/>
    <cellStyle name="Обычный 6 7 2 2" xfId="754"/>
    <cellStyle name="Обычный 6 7 2 2 2" xfId="1882"/>
    <cellStyle name="Обычный 6 7 2 2 2 2" xfId="4425"/>
    <cellStyle name="Обычный 6 7 2 2 2 2 2" xfId="9543"/>
    <cellStyle name="Обычный 6 7 2 2 2 2 2 2" xfId="15218"/>
    <cellStyle name="Обычный 6 7 2 2 2 2 3" xfId="15219"/>
    <cellStyle name="Обычный 6 7 2 2 2 3" xfId="7487"/>
    <cellStyle name="Обычный 6 7 2 2 2 3 2" xfId="15220"/>
    <cellStyle name="Обычный 6 7 2 2 2 4" xfId="15221"/>
    <cellStyle name="Обычный 6 7 2 2 3" xfId="3397"/>
    <cellStyle name="Обычный 6 7 2 2 3 2" xfId="8515"/>
    <cellStyle name="Обычный 6 7 2 2 3 2 2" xfId="15222"/>
    <cellStyle name="Обычный 6 7 2 2 3 3" xfId="15223"/>
    <cellStyle name="Обычный 6 7 2 2 4" xfId="6459"/>
    <cellStyle name="Обычный 6 7 2 2 4 2" xfId="15224"/>
    <cellStyle name="Обычный 6 7 2 2 5" xfId="15225"/>
    <cellStyle name="Обычный 6 7 2 3" xfId="941"/>
    <cellStyle name="Обычный 6 7 2 3 2" xfId="2060"/>
    <cellStyle name="Обычный 6 7 2 3 2 2" xfId="4598"/>
    <cellStyle name="Обычный 6 7 2 3 2 2 2" xfId="9716"/>
    <cellStyle name="Обычный 6 7 2 3 2 2 2 2" xfId="15226"/>
    <cellStyle name="Обычный 6 7 2 3 2 2 3" xfId="15227"/>
    <cellStyle name="Обычный 6 7 2 3 2 3" xfId="7660"/>
    <cellStyle name="Обычный 6 7 2 3 2 3 2" xfId="15228"/>
    <cellStyle name="Обычный 6 7 2 3 2 4" xfId="15229"/>
    <cellStyle name="Обычный 6 7 2 3 3" xfId="3570"/>
    <cellStyle name="Обычный 6 7 2 3 3 2" xfId="8688"/>
    <cellStyle name="Обычный 6 7 2 3 3 2 2" xfId="15230"/>
    <cellStyle name="Обычный 6 7 2 3 3 3" xfId="15231"/>
    <cellStyle name="Обычный 6 7 2 3 4" xfId="6632"/>
    <cellStyle name="Обычный 6 7 2 3 4 2" xfId="15232"/>
    <cellStyle name="Обычный 6 7 2 3 5" xfId="15233"/>
    <cellStyle name="Обычный 6 7 2 4" xfId="1112"/>
    <cellStyle name="Обычный 6 7 2 4 2" xfId="2231"/>
    <cellStyle name="Обычный 6 7 2 4 2 2" xfId="4769"/>
    <cellStyle name="Обычный 6 7 2 4 2 2 2" xfId="9887"/>
    <cellStyle name="Обычный 6 7 2 4 2 2 2 2" xfId="15234"/>
    <cellStyle name="Обычный 6 7 2 4 2 2 3" xfId="15235"/>
    <cellStyle name="Обычный 6 7 2 4 2 3" xfId="7831"/>
    <cellStyle name="Обычный 6 7 2 4 2 3 2" xfId="15236"/>
    <cellStyle name="Обычный 6 7 2 4 2 4" xfId="15237"/>
    <cellStyle name="Обычный 6 7 2 4 3" xfId="3741"/>
    <cellStyle name="Обычный 6 7 2 4 3 2" xfId="8859"/>
    <cellStyle name="Обычный 6 7 2 4 3 2 2" xfId="15238"/>
    <cellStyle name="Обычный 6 7 2 4 3 3" xfId="15239"/>
    <cellStyle name="Обычный 6 7 2 4 4" xfId="6803"/>
    <cellStyle name="Обычный 6 7 2 4 4 2" xfId="15240"/>
    <cellStyle name="Обычный 6 7 2 4 5" xfId="15241"/>
    <cellStyle name="Обычный 6 7 2 5" xfId="1293"/>
    <cellStyle name="Обычный 6 7 2 5 2" xfId="2402"/>
    <cellStyle name="Обычный 6 7 2 5 2 2" xfId="4940"/>
    <cellStyle name="Обычный 6 7 2 5 2 2 2" xfId="10058"/>
    <cellStyle name="Обычный 6 7 2 5 2 2 2 2" xfId="15242"/>
    <cellStyle name="Обычный 6 7 2 5 2 2 3" xfId="15243"/>
    <cellStyle name="Обычный 6 7 2 5 2 3" xfId="8002"/>
    <cellStyle name="Обычный 6 7 2 5 2 3 2" xfId="15244"/>
    <cellStyle name="Обычный 6 7 2 5 2 4" xfId="15245"/>
    <cellStyle name="Обычный 6 7 2 5 3" xfId="3912"/>
    <cellStyle name="Обычный 6 7 2 5 3 2" xfId="9030"/>
    <cellStyle name="Обычный 6 7 2 5 3 2 2" xfId="15246"/>
    <cellStyle name="Обычный 6 7 2 5 3 3" xfId="15247"/>
    <cellStyle name="Обычный 6 7 2 5 4" xfId="6974"/>
    <cellStyle name="Обычный 6 7 2 5 4 2" xfId="15248"/>
    <cellStyle name="Обычный 6 7 2 5 5" xfId="15249"/>
    <cellStyle name="Обычный 6 7 2 6" xfId="1467"/>
    <cellStyle name="Обычный 6 7 2 6 2" xfId="2573"/>
    <cellStyle name="Обычный 6 7 2 6 2 2" xfId="5111"/>
    <cellStyle name="Обычный 6 7 2 6 2 2 2" xfId="10229"/>
    <cellStyle name="Обычный 6 7 2 6 2 2 2 2" xfId="15250"/>
    <cellStyle name="Обычный 6 7 2 6 2 2 3" xfId="15251"/>
    <cellStyle name="Обычный 6 7 2 6 2 3" xfId="8173"/>
    <cellStyle name="Обычный 6 7 2 6 2 3 2" xfId="15252"/>
    <cellStyle name="Обычный 6 7 2 6 2 4" xfId="15253"/>
    <cellStyle name="Обычный 6 7 2 6 3" xfId="4083"/>
    <cellStyle name="Обычный 6 7 2 6 3 2" xfId="9201"/>
    <cellStyle name="Обычный 6 7 2 6 3 2 2" xfId="15254"/>
    <cellStyle name="Обычный 6 7 2 6 3 3" xfId="15255"/>
    <cellStyle name="Обычный 6 7 2 6 4" xfId="7145"/>
    <cellStyle name="Обычный 6 7 2 6 4 2" xfId="15256"/>
    <cellStyle name="Обычный 6 7 2 6 5" xfId="15257"/>
    <cellStyle name="Обычный 6 7 2 7" xfId="1638"/>
    <cellStyle name="Обычный 6 7 2 7 2" xfId="2744"/>
    <cellStyle name="Обычный 6 7 2 7 2 2" xfId="5282"/>
    <cellStyle name="Обычный 6 7 2 7 2 2 2" xfId="10400"/>
    <cellStyle name="Обычный 6 7 2 7 2 2 2 2" xfId="15258"/>
    <cellStyle name="Обычный 6 7 2 7 2 2 3" xfId="15259"/>
    <cellStyle name="Обычный 6 7 2 7 2 3" xfId="8344"/>
    <cellStyle name="Обычный 6 7 2 7 2 3 2" xfId="15260"/>
    <cellStyle name="Обычный 6 7 2 7 2 4" xfId="15261"/>
    <cellStyle name="Обычный 6 7 2 7 3" xfId="4254"/>
    <cellStyle name="Обычный 6 7 2 7 3 2" xfId="9372"/>
    <cellStyle name="Обычный 6 7 2 7 3 2 2" xfId="15262"/>
    <cellStyle name="Обычный 6 7 2 7 3 3" xfId="15263"/>
    <cellStyle name="Обычный 6 7 2 7 4" xfId="7316"/>
    <cellStyle name="Обычный 6 7 2 7 4 2" xfId="15264"/>
    <cellStyle name="Обычный 6 7 2 7 5" xfId="15265"/>
    <cellStyle name="Обычный 6 7 2 8" xfId="3056"/>
    <cellStyle name="Обычный 6 8" xfId="366"/>
    <cellStyle name="Обычный 6 8 2" xfId="367"/>
    <cellStyle name="Обычный 6 8 2 2" xfId="755"/>
    <cellStyle name="Обычный 6 8 2 2 2" xfId="1883"/>
    <cellStyle name="Обычный 6 8 2 2 2 2" xfId="4426"/>
    <cellStyle name="Обычный 6 8 2 2 2 2 2" xfId="9544"/>
    <cellStyle name="Обычный 6 8 2 2 2 2 2 2" xfId="15266"/>
    <cellStyle name="Обычный 6 8 2 2 2 2 3" xfId="15267"/>
    <cellStyle name="Обычный 6 8 2 2 2 3" xfId="7488"/>
    <cellStyle name="Обычный 6 8 2 2 2 3 2" xfId="15268"/>
    <cellStyle name="Обычный 6 8 2 2 2 4" xfId="15269"/>
    <cellStyle name="Обычный 6 8 2 2 3" xfId="3398"/>
    <cellStyle name="Обычный 6 8 2 2 3 2" xfId="8516"/>
    <cellStyle name="Обычный 6 8 2 2 3 2 2" xfId="15270"/>
    <cellStyle name="Обычный 6 8 2 2 3 3" xfId="15271"/>
    <cellStyle name="Обычный 6 8 2 2 4" xfId="6460"/>
    <cellStyle name="Обычный 6 8 2 2 4 2" xfId="15272"/>
    <cellStyle name="Обычный 6 8 2 2 5" xfId="15273"/>
    <cellStyle name="Обычный 6 8 2 3" xfId="942"/>
    <cellStyle name="Обычный 6 8 2 3 2" xfId="2061"/>
    <cellStyle name="Обычный 6 8 2 3 2 2" xfId="4599"/>
    <cellStyle name="Обычный 6 8 2 3 2 2 2" xfId="9717"/>
    <cellStyle name="Обычный 6 8 2 3 2 2 2 2" xfId="15274"/>
    <cellStyle name="Обычный 6 8 2 3 2 2 3" xfId="15275"/>
    <cellStyle name="Обычный 6 8 2 3 2 3" xfId="7661"/>
    <cellStyle name="Обычный 6 8 2 3 2 3 2" xfId="15276"/>
    <cellStyle name="Обычный 6 8 2 3 2 4" xfId="15277"/>
    <cellStyle name="Обычный 6 8 2 3 3" xfId="3571"/>
    <cellStyle name="Обычный 6 8 2 3 3 2" xfId="8689"/>
    <cellStyle name="Обычный 6 8 2 3 3 2 2" xfId="15278"/>
    <cellStyle name="Обычный 6 8 2 3 3 3" xfId="15279"/>
    <cellStyle name="Обычный 6 8 2 3 4" xfId="6633"/>
    <cellStyle name="Обычный 6 8 2 3 4 2" xfId="15280"/>
    <cellStyle name="Обычный 6 8 2 3 5" xfId="15281"/>
    <cellStyle name="Обычный 6 8 2 4" xfId="1113"/>
    <cellStyle name="Обычный 6 8 2 4 2" xfId="2232"/>
    <cellStyle name="Обычный 6 8 2 4 2 2" xfId="4770"/>
    <cellStyle name="Обычный 6 8 2 4 2 2 2" xfId="9888"/>
    <cellStyle name="Обычный 6 8 2 4 2 2 2 2" xfId="15282"/>
    <cellStyle name="Обычный 6 8 2 4 2 2 3" xfId="15283"/>
    <cellStyle name="Обычный 6 8 2 4 2 3" xfId="7832"/>
    <cellStyle name="Обычный 6 8 2 4 2 3 2" xfId="15284"/>
    <cellStyle name="Обычный 6 8 2 4 2 4" xfId="15285"/>
    <cellStyle name="Обычный 6 8 2 4 3" xfId="3742"/>
    <cellStyle name="Обычный 6 8 2 4 3 2" xfId="8860"/>
    <cellStyle name="Обычный 6 8 2 4 3 2 2" xfId="15286"/>
    <cellStyle name="Обычный 6 8 2 4 3 3" xfId="15287"/>
    <cellStyle name="Обычный 6 8 2 4 4" xfId="6804"/>
    <cellStyle name="Обычный 6 8 2 4 4 2" xfId="15288"/>
    <cellStyle name="Обычный 6 8 2 4 5" xfId="15289"/>
    <cellStyle name="Обычный 6 8 2 5" xfId="1294"/>
    <cellStyle name="Обычный 6 8 2 5 2" xfId="2403"/>
    <cellStyle name="Обычный 6 8 2 5 2 2" xfId="4941"/>
    <cellStyle name="Обычный 6 8 2 5 2 2 2" xfId="10059"/>
    <cellStyle name="Обычный 6 8 2 5 2 2 2 2" xfId="15290"/>
    <cellStyle name="Обычный 6 8 2 5 2 2 3" xfId="15291"/>
    <cellStyle name="Обычный 6 8 2 5 2 3" xfId="8003"/>
    <cellStyle name="Обычный 6 8 2 5 2 3 2" xfId="15292"/>
    <cellStyle name="Обычный 6 8 2 5 2 4" xfId="15293"/>
    <cellStyle name="Обычный 6 8 2 5 3" xfId="3913"/>
    <cellStyle name="Обычный 6 8 2 5 3 2" xfId="9031"/>
    <cellStyle name="Обычный 6 8 2 5 3 2 2" xfId="15294"/>
    <cellStyle name="Обычный 6 8 2 5 3 3" xfId="15295"/>
    <cellStyle name="Обычный 6 8 2 5 4" xfId="6975"/>
    <cellStyle name="Обычный 6 8 2 5 4 2" xfId="15296"/>
    <cellStyle name="Обычный 6 8 2 5 5" xfId="15297"/>
    <cellStyle name="Обычный 6 8 2 6" xfId="1468"/>
    <cellStyle name="Обычный 6 8 2 6 2" xfId="2574"/>
    <cellStyle name="Обычный 6 8 2 6 2 2" xfId="5112"/>
    <cellStyle name="Обычный 6 8 2 6 2 2 2" xfId="10230"/>
    <cellStyle name="Обычный 6 8 2 6 2 2 2 2" xfId="15298"/>
    <cellStyle name="Обычный 6 8 2 6 2 2 3" xfId="15299"/>
    <cellStyle name="Обычный 6 8 2 6 2 3" xfId="8174"/>
    <cellStyle name="Обычный 6 8 2 6 2 3 2" xfId="15300"/>
    <cellStyle name="Обычный 6 8 2 6 2 4" xfId="15301"/>
    <cellStyle name="Обычный 6 8 2 6 3" xfId="4084"/>
    <cellStyle name="Обычный 6 8 2 6 3 2" xfId="9202"/>
    <cellStyle name="Обычный 6 8 2 6 3 2 2" xfId="15302"/>
    <cellStyle name="Обычный 6 8 2 6 3 3" xfId="15303"/>
    <cellStyle name="Обычный 6 8 2 6 4" xfId="7146"/>
    <cellStyle name="Обычный 6 8 2 6 4 2" xfId="15304"/>
    <cellStyle name="Обычный 6 8 2 6 5" xfId="15305"/>
    <cellStyle name="Обычный 6 8 2 7" xfId="1639"/>
    <cellStyle name="Обычный 6 8 2 7 2" xfId="2745"/>
    <cellStyle name="Обычный 6 8 2 7 2 2" xfId="5283"/>
    <cellStyle name="Обычный 6 8 2 7 2 2 2" xfId="10401"/>
    <cellStyle name="Обычный 6 8 2 7 2 2 2 2" xfId="15306"/>
    <cellStyle name="Обычный 6 8 2 7 2 2 3" xfId="15307"/>
    <cellStyle name="Обычный 6 8 2 7 2 3" xfId="8345"/>
    <cellStyle name="Обычный 6 8 2 7 2 3 2" xfId="15308"/>
    <cellStyle name="Обычный 6 8 2 7 2 4" xfId="15309"/>
    <cellStyle name="Обычный 6 8 2 7 3" xfId="4255"/>
    <cellStyle name="Обычный 6 8 2 7 3 2" xfId="9373"/>
    <cellStyle name="Обычный 6 8 2 7 3 2 2" xfId="15310"/>
    <cellStyle name="Обычный 6 8 2 7 3 3" xfId="15311"/>
    <cellStyle name="Обычный 6 8 2 7 4" xfId="7317"/>
    <cellStyle name="Обычный 6 8 2 7 4 2" xfId="15312"/>
    <cellStyle name="Обычный 6 8 2 7 5" xfId="15313"/>
    <cellStyle name="Обычный 6 8 2 8" xfId="3057"/>
    <cellStyle name="Обычный 6 9" xfId="368"/>
    <cellStyle name="Обычный 6 9 2" xfId="756"/>
    <cellStyle name="Обычный 6 9 2 2" xfId="1884"/>
    <cellStyle name="Обычный 6 9 2 2 2" xfId="4427"/>
    <cellStyle name="Обычный 6 9 2 2 2 2" xfId="9545"/>
    <cellStyle name="Обычный 6 9 2 2 2 2 2" xfId="15314"/>
    <cellStyle name="Обычный 6 9 2 2 2 3" xfId="15315"/>
    <cellStyle name="Обычный 6 9 2 2 3" xfId="7489"/>
    <cellStyle name="Обычный 6 9 2 2 3 2" xfId="15316"/>
    <cellStyle name="Обычный 6 9 2 2 4" xfId="15317"/>
    <cellStyle name="Обычный 6 9 2 3" xfId="3399"/>
    <cellStyle name="Обычный 6 9 2 3 2" xfId="8517"/>
    <cellStyle name="Обычный 6 9 2 3 2 2" xfId="15318"/>
    <cellStyle name="Обычный 6 9 2 3 3" xfId="15319"/>
    <cellStyle name="Обычный 6 9 2 4" xfId="6461"/>
    <cellStyle name="Обычный 6 9 2 4 2" xfId="15320"/>
    <cellStyle name="Обычный 6 9 2 5" xfId="15321"/>
    <cellStyle name="Обычный 6 9 3" xfId="943"/>
    <cellStyle name="Обычный 6 9 3 2" xfId="2062"/>
    <cellStyle name="Обычный 6 9 3 2 2" xfId="4600"/>
    <cellStyle name="Обычный 6 9 3 2 2 2" xfId="9718"/>
    <cellStyle name="Обычный 6 9 3 2 2 2 2" xfId="15322"/>
    <cellStyle name="Обычный 6 9 3 2 2 3" xfId="15323"/>
    <cellStyle name="Обычный 6 9 3 2 3" xfId="7662"/>
    <cellStyle name="Обычный 6 9 3 2 3 2" xfId="15324"/>
    <cellStyle name="Обычный 6 9 3 2 4" xfId="15325"/>
    <cellStyle name="Обычный 6 9 3 3" xfId="3572"/>
    <cellStyle name="Обычный 6 9 3 3 2" xfId="8690"/>
    <cellStyle name="Обычный 6 9 3 3 2 2" xfId="15326"/>
    <cellStyle name="Обычный 6 9 3 3 3" xfId="15327"/>
    <cellStyle name="Обычный 6 9 3 4" xfId="6634"/>
    <cellStyle name="Обычный 6 9 3 4 2" xfId="15328"/>
    <cellStyle name="Обычный 6 9 3 5" xfId="15329"/>
    <cellStyle name="Обычный 6 9 4" xfId="1114"/>
    <cellStyle name="Обычный 6 9 4 2" xfId="2233"/>
    <cellStyle name="Обычный 6 9 4 2 2" xfId="4771"/>
    <cellStyle name="Обычный 6 9 4 2 2 2" xfId="9889"/>
    <cellStyle name="Обычный 6 9 4 2 2 2 2" xfId="15330"/>
    <cellStyle name="Обычный 6 9 4 2 2 3" xfId="15331"/>
    <cellStyle name="Обычный 6 9 4 2 3" xfId="7833"/>
    <cellStyle name="Обычный 6 9 4 2 3 2" xfId="15332"/>
    <cellStyle name="Обычный 6 9 4 2 4" xfId="15333"/>
    <cellStyle name="Обычный 6 9 4 3" xfId="3743"/>
    <cellStyle name="Обычный 6 9 4 3 2" xfId="8861"/>
    <cellStyle name="Обычный 6 9 4 3 2 2" xfId="15334"/>
    <cellStyle name="Обычный 6 9 4 3 3" xfId="15335"/>
    <cellStyle name="Обычный 6 9 4 4" xfId="6805"/>
    <cellStyle name="Обычный 6 9 4 4 2" xfId="15336"/>
    <cellStyle name="Обычный 6 9 4 5" xfId="15337"/>
    <cellStyle name="Обычный 6 9 5" xfId="1295"/>
    <cellStyle name="Обычный 6 9 5 2" xfId="2404"/>
    <cellStyle name="Обычный 6 9 5 2 2" xfId="4942"/>
    <cellStyle name="Обычный 6 9 5 2 2 2" xfId="10060"/>
    <cellStyle name="Обычный 6 9 5 2 2 2 2" xfId="15338"/>
    <cellStyle name="Обычный 6 9 5 2 2 3" xfId="15339"/>
    <cellStyle name="Обычный 6 9 5 2 3" xfId="8004"/>
    <cellStyle name="Обычный 6 9 5 2 3 2" xfId="15340"/>
    <cellStyle name="Обычный 6 9 5 2 4" xfId="15341"/>
    <cellStyle name="Обычный 6 9 5 3" xfId="3914"/>
    <cellStyle name="Обычный 6 9 5 3 2" xfId="9032"/>
    <cellStyle name="Обычный 6 9 5 3 2 2" xfId="15342"/>
    <cellStyle name="Обычный 6 9 5 3 3" xfId="15343"/>
    <cellStyle name="Обычный 6 9 5 4" xfId="6976"/>
    <cellStyle name="Обычный 6 9 5 4 2" xfId="15344"/>
    <cellStyle name="Обычный 6 9 5 5" xfId="15345"/>
    <cellStyle name="Обычный 6 9 6" xfId="1469"/>
    <cellStyle name="Обычный 6 9 6 2" xfId="2575"/>
    <cellStyle name="Обычный 6 9 6 2 2" xfId="5113"/>
    <cellStyle name="Обычный 6 9 6 2 2 2" xfId="10231"/>
    <cellStyle name="Обычный 6 9 6 2 2 2 2" xfId="15346"/>
    <cellStyle name="Обычный 6 9 6 2 2 3" xfId="15347"/>
    <cellStyle name="Обычный 6 9 6 2 3" xfId="8175"/>
    <cellStyle name="Обычный 6 9 6 2 3 2" xfId="15348"/>
    <cellStyle name="Обычный 6 9 6 2 4" xfId="15349"/>
    <cellStyle name="Обычный 6 9 6 3" xfId="4085"/>
    <cellStyle name="Обычный 6 9 6 3 2" xfId="9203"/>
    <cellStyle name="Обычный 6 9 6 3 2 2" xfId="15350"/>
    <cellStyle name="Обычный 6 9 6 3 3" xfId="15351"/>
    <cellStyle name="Обычный 6 9 6 4" xfId="7147"/>
    <cellStyle name="Обычный 6 9 6 4 2" xfId="15352"/>
    <cellStyle name="Обычный 6 9 6 5" xfId="15353"/>
    <cellStyle name="Обычный 6 9 7" xfId="1640"/>
    <cellStyle name="Обычный 6 9 7 2" xfId="2746"/>
    <cellStyle name="Обычный 6 9 7 2 2" xfId="5284"/>
    <cellStyle name="Обычный 6 9 7 2 2 2" xfId="10402"/>
    <cellStyle name="Обычный 6 9 7 2 2 2 2" xfId="15354"/>
    <cellStyle name="Обычный 6 9 7 2 2 3" xfId="15355"/>
    <cellStyle name="Обычный 6 9 7 2 3" xfId="8346"/>
    <cellStyle name="Обычный 6 9 7 2 3 2" xfId="15356"/>
    <cellStyle name="Обычный 6 9 7 2 4" xfId="15357"/>
    <cellStyle name="Обычный 6 9 7 3" xfId="4256"/>
    <cellStyle name="Обычный 6 9 7 3 2" xfId="9374"/>
    <cellStyle name="Обычный 6 9 7 3 2 2" xfId="15358"/>
    <cellStyle name="Обычный 6 9 7 3 3" xfId="15359"/>
    <cellStyle name="Обычный 6 9 7 4" xfId="7318"/>
    <cellStyle name="Обычный 6 9 7 4 2" xfId="15360"/>
    <cellStyle name="Обычный 6 9 7 5" xfId="15361"/>
    <cellStyle name="Обычный 6 9 8" xfId="3058"/>
    <cellStyle name="Обычный 7" xfId="369"/>
    <cellStyle name="Обычный 7 2" xfId="370"/>
    <cellStyle name="Обычный 7 2 2" xfId="371"/>
    <cellStyle name="Обычный 7 2 2 2" xfId="372"/>
    <cellStyle name="Обычный 7 2 2 2 2" xfId="373"/>
    <cellStyle name="Обычный 7 2 2 2 2 2" xfId="374"/>
    <cellStyle name="Обычный 7 2 2 2 2 2 2" xfId="757"/>
    <cellStyle name="Обычный 7 2 2 2 2 2 2 2" xfId="1885"/>
    <cellStyle name="Обычный 7 2 2 2 2 2 2 2 2" xfId="4428"/>
    <cellStyle name="Обычный 7 2 2 2 2 2 2 2 2 2" xfId="9546"/>
    <cellStyle name="Обычный 7 2 2 2 2 2 2 2 2 2 2" xfId="15362"/>
    <cellStyle name="Обычный 7 2 2 2 2 2 2 2 2 3" xfId="15363"/>
    <cellStyle name="Обычный 7 2 2 2 2 2 2 2 3" xfId="7490"/>
    <cellStyle name="Обычный 7 2 2 2 2 2 2 2 3 2" xfId="15364"/>
    <cellStyle name="Обычный 7 2 2 2 2 2 2 2 4" xfId="15365"/>
    <cellStyle name="Обычный 7 2 2 2 2 2 2 3" xfId="3400"/>
    <cellStyle name="Обычный 7 2 2 2 2 2 2 3 2" xfId="8518"/>
    <cellStyle name="Обычный 7 2 2 2 2 2 2 3 2 2" xfId="15366"/>
    <cellStyle name="Обычный 7 2 2 2 2 2 2 3 3" xfId="15367"/>
    <cellStyle name="Обычный 7 2 2 2 2 2 2 4" xfId="6462"/>
    <cellStyle name="Обычный 7 2 2 2 2 2 2 4 2" xfId="15368"/>
    <cellStyle name="Обычный 7 2 2 2 2 2 2 5" xfId="15369"/>
    <cellStyle name="Обычный 7 2 2 2 2 2 3" xfId="944"/>
    <cellStyle name="Обычный 7 2 2 2 2 2 3 2" xfId="2063"/>
    <cellStyle name="Обычный 7 2 2 2 2 2 3 2 2" xfId="4601"/>
    <cellStyle name="Обычный 7 2 2 2 2 2 3 2 2 2" xfId="9719"/>
    <cellStyle name="Обычный 7 2 2 2 2 2 3 2 2 2 2" xfId="15370"/>
    <cellStyle name="Обычный 7 2 2 2 2 2 3 2 2 3" xfId="15371"/>
    <cellStyle name="Обычный 7 2 2 2 2 2 3 2 3" xfId="7663"/>
    <cellStyle name="Обычный 7 2 2 2 2 2 3 2 3 2" xfId="15372"/>
    <cellStyle name="Обычный 7 2 2 2 2 2 3 2 4" xfId="15373"/>
    <cellStyle name="Обычный 7 2 2 2 2 2 3 3" xfId="3573"/>
    <cellStyle name="Обычный 7 2 2 2 2 2 3 3 2" xfId="8691"/>
    <cellStyle name="Обычный 7 2 2 2 2 2 3 3 2 2" xfId="15374"/>
    <cellStyle name="Обычный 7 2 2 2 2 2 3 3 3" xfId="15375"/>
    <cellStyle name="Обычный 7 2 2 2 2 2 3 4" xfId="6635"/>
    <cellStyle name="Обычный 7 2 2 2 2 2 3 4 2" xfId="15376"/>
    <cellStyle name="Обычный 7 2 2 2 2 2 3 5" xfId="15377"/>
    <cellStyle name="Обычный 7 2 2 2 2 2 4" xfId="1115"/>
    <cellStyle name="Обычный 7 2 2 2 2 2 4 2" xfId="2234"/>
    <cellStyle name="Обычный 7 2 2 2 2 2 4 2 2" xfId="4772"/>
    <cellStyle name="Обычный 7 2 2 2 2 2 4 2 2 2" xfId="9890"/>
    <cellStyle name="Обычный 7 2 2 2 2 2 4 2 2 2 2" xfId="15378"/>
    <cellStyle name="Обычный 7 2 2 2 2 2 4 2 2 3" xfId="15379"/>
    <cellStyle name="Обычный 7 2 2 2 2 2 4 2 3" xfId="7834"/>
    <cellStyle name="Обычный 7 2 2 2 2 2 4 2 3 2" xfId="15380"/>
    <cellStyle name="Обычный 7 2 2 2 2 2 4 2 4" xfId="15381"/>
    <cellStyle name="Обычный 7 2 2 2 2 2 4 3" xfId="3744"/>
    <cellStyle name="Обычный 7 2 2 2 2 2 4 3 2" xfId="8862"/>
    <cellStyle name="Обычный 7 2 2 2 2 2 4 3 2 2" xfId="15382"/>
    <cellStyle name="Обычный 7 2 2 2 2 2 4 3 3" xfId="15383"/>
    <cellStyle name="Обычный 7 2 2 2 2 2 4 4" xfId="6806"/>
    <cellStyle name="Обычный 7 2 2 2 2 2 4 4 2" xfId="15384"/>
    <cellStyle name="Обычный 7 2 2 2 2 2 4 5" xfId="15385"/>
    <cellStyle name="Обычный 7 2 2 2 2 2 5" xfId="1296"/>
    <cellStyle name="Обычный 7 2 2 2 2 2 5 2" xfId="2405"/>
    <cellStyle name="Обычный 7 2 2 2 2 2 5 2 2" xfId="4943"/>
    <cellStyle name="Обычный 7 2 2 2 2 2 5 2 2 2" xfId="10061"/>
    <cellStyle name="Обычный 7 2 2 2 2 2 5 2 2 2 2" xfId="15386"/>
    <cellStyle name="Обычный 7 2 2 2 2 2 5 2 2 3" xfId="15387"/>
    <cellStyle name="Обычный 7 2 2 2 2 2 5 2 3" xfId="8005"/>
    <cellStyle name="Обычный 7 2 2 2 2 2 5 2 3 2" xfId="15388"/>
    <cellStyle name="Обычный 7 2 2 2 2 2 5 2 4" xfId="15389"/>
    <cellStyle name="Обычный 7 2 2 2 2 2 5 3" xfId="3915"/>
    <cellStyle name="Обычный 7 2 2 2 2 2 5 3 2" xfId="9033"/>
    <cellStyle name="Обычный 7 2 2 2 2 2 5 3 2 2" xfId="15390"/>
    <cellStyle name="Обычный 7 2 2 2 2 2 5 3 3" xfId="15391"/>
    <cellStyle name="Обычный 7 2 2 2 2 2 5 4" xfId="6977"/>
    <cellStyle name="Обычный 7 2 2 2 2 2 5 4 2" xfId="15392"/>
    <cellStyle name="Обычный 7 2 2 2 2 2 5 5" xfId="15393"/>
    <cellStyle name="Обычный 7 2 2 2 2 2 6" xfId="1470"/>
    <cellStyle name="Обычный 7 2 2 2 2 2 6 2" xfId="2576"/>
    <cellStyle name="Обычный 7 2 2 2 2 2 6 2 2" xfId="5114"/>
    <cellStyle name="Обычный 7 2 2 2 2 2 6 2 2 2" xfId="10232"/>
    <cellStyle name="Обычный 7 2 2 2 2 2 6 2 2 2 2" xfId="15394"/>
    <cellStyle name="Обычный 7 2 2 2 2 2 6 2 2 3" xfId="15395"/>
    <cellStyle name="Обычный 7 2 2 2 2 2 6 2 3" xfId="8176"/>
    <cellStyle name="Обычный 7 2 2 2 2 2 6 2 3 2" xfId="15396"/>
    <cellStyle name="Обычный 7 2 2 2 2 2 6 2 4" xfId="15397"/>
    <cellStyle name="Обычный 7 2 2 2 2 2 6 3" xfId="4086"/>
    <cellStyle name="Обычный 7 2 2 2 2 2 6 3 2" xfId="9204"/>
    <cellStyle name="Обычный 7 2 2 2 2 2 6 3 2 2" xfId="15398"/>
    <cellStyle name="Обычный 7 2 2 2 2 2 6 3 3" xfId="15399"/>
    <cellStyle name="Обычный 7 2 2 2 2 2 6 4" xfId="7148"/>
    <cellStyle name="Обычный 7 2 2 2 2 2 6 4 2" xfId="15400"/>
    <cellStyle name="Обычный 7 2 2 2 2 2 6 5" xfId="15401"/>
    <cellStyle name="Обычный 7 2 2 2 2 2 7" xfId="1641"/>
    <cellStyle name="Обычный 7 2 2 2 2 2 7 2" xfId="2747"/>
    <cellStyle name="Обычный 7 2 2 2 2 2 7 2 2" xfId="5285"/>
    <cellStyle name="Обычный 7 2 2 2 2 2 7 2 2 2" xfId="10403"/>
    <cellStyle name="Обычный 7 2 2 2 2 2 7 2 2 2 2" xfId="15402"/>
    <cellStyle name="Обычный 7 2 2 2 2 2 7 2 2 3" xfId="15403"/>
    <cellStyle name="Обычный 7 2 2 2 2 2 7 2 3" xfId="8347"/>
    <cellStyle name="Обычный 7 2 2 2 2 2 7 2 3 2" xfId="15404"/>
    <cellStyle name="Обычный 7 2 2 2 2 2 7 2 4" xfId="15405"/>
    <cellStyle name="Обычный 7 2 2 2 2 2 7 3" xfId="4257"/>
    <cellStyle name="Обычный 7 2 2 2 2 2 7 3 2" xfId="9375"/>
    <cellStyle name="Обычный 7 2 2 2 2 2 7 3 2 2" xfId="15406"/>
    <cellStyle name="Обычный 7 2 2 2 2 2 7 3 3" xfId="15407"/>
    <cellStyle name="Обычный 7 2 2 2 2 2 7 4" xfId="7319"/>
    <cellStyle name="Обычный 7 2 2 2 2 2 7 4 2" xfId="15408"/>
    <cellStyle name="Обычный 7 2 2 2 2 2 7 5" xfId="15409"/>
    <cellStyle name="Обычный 7 2 2 2 2 2 8" xfId="3059"/>
    <cellStyle name="Обычный 7 2 2 2 3" xfId="375"/>
    <cellStyle name="Обычный 7 2 2 2 3 2" xfId="376"/>
    <cellStyle name="Обычный 7 2 2 2 3 2 2" xfId="758"/>
    <cellStyle name="Обычный 7 2 2 2 3 2 2 2" xfId="1886"/>
    <cellStyle name="Обычный 7 2 2 2 3 2 2 2 2" xfId="4429"/>
    <cellStyle name="Обычный 7 2 2 2 3 2 2 2 2 2" xfId="9547"/>
    <cellStyle name="Обычный 7 2 2 2 3 2 2 2 2 2 2" xfId="15410"/>
    <cellStyle name="Обычный 7 2 2 2 3 2 2 2 2 3" xfId="15411"/>
    <cellStyle name="Обычный 7 2 2 2 3 2 2 2 3" xfId="7491"/>
    <cellStyle name="Обычный 7 2 2 2 3 2 2 2 3 2" xfId="15412"/>
    <cellStyle name="Обычный 7 2 2 2 3 2 2 2 4" xfId="15413"/>
    <cellStyle name="Обычный 7 2 2 2 3 2 2 3" xfId="3401"/>
    <cellStyle name="Обычный 7 2 2 2 3 2 2 3 2" xfId="8519"/>
    <cellStyle name="Обычный 7 2 2 2 3 2 2 3 2 2" xfId="15414"/>
    <cellStyle name="Обычный 7 2 2 2 3 2 2 3 3" xfId="15415"/>
    <cellStyle name="Обычный 7 2 2 2 3 2 2 4" xfId="6463"/>
    <cellStyle name="Обычный 7 2 2 2 3 2 2 4 2" xfId="15416"/>
    <cellStyle name="Обычный 7 2 2 2 3 2 2 5" xfId="15417"/>
    <cellStyle name="Обычный 7 2 2 2 3 2 3" xfId="945"/>
    <cellStyle name="Обычный 7 2 2 2 3 2 3 2" xfId="2064"/>
    <cellStyle name="Обычный 7 2 2 2 3 2 3 2 2" xfId="4602"/>
    <cellStyle name="Обычный 7 2 2 2 3 2 3 2 2 2" xfId="9720"/>
    <cellStyle name="Обычный 7 2 2 2 3 2 3 2 2 2 2" xfId="15418"/>
    <cellStyle name="Обычный 7 2 2 2 3 2 3 2 2 3" xfId="15419"/>
    <cellStyle name="Обычный 7 2 2 2 3 2 3 2 3" xfId="7664"/>
    <cellStyle name="Обычный 7 2 2 2 3 2 3 2 3 2" xfId="15420"/>
    <cellStyle name="Обычный 7 2 2 2 3 2 3 2 4" xfId="15421"/>
    <cellStyle name="Обычный 7 2 2 2 3 2 3 3" xfId="3574"/>
    <cellStyle name="Обычный 7 2 2 2 3 2 3 3 2" xfId="8692"/>
    <cellStyle name="Обычный 7 2 2 2 3 2 3 3 2 2" xfId="15422"/>
    <cellStyle name="Обычный 7 2 2 2 3 2 3 3 3" xfId="15423"/>
    <cellStyle name="Обычный 7 2 2 2 3 2 3 4" xfId="6636"/>
    <cellStyle name="Обычный 7 2 2 2 3 2 3 4 2" xfId="15424"/>
    <cellStyle name="Обычный 7 2 2 2 3 2 3 5" xfId="15425"/>
    <cellStyle name="Обычный 7 2 2 2 3 2 4" xfId="1116"/>
    <cellStyle name="Обычный 7 2 2 2 3 2 4 2" xfId="2235"/>
    <cellStyle name="Обычный 7 2 2 2 3 2 4 2 2" xfId="4773"/>
    <cellStyle name="Обычный 7 2 2 2 3 2 4 2 2 2" xfId="9891"/>
    <cellStyle name="Обычный 7 2 2 2 3 2 4 2 2 2 2" xfId="15426"/>
    <cellStyle name="Обычный 7 2 2 2 3 2 4 2 2 3" xfId="15427"/>
    <cellStyle name="Обычный 7 2 2 2 3 2 4 2 3" xfId="7835"/>
    <cellStyle name="Обычный 7 2 2 2 3 2 4 2 3 2" xfId="15428"/>
    <cellStyle name="Обычный 7 2 2 2 3 2 4 2 4" xfId="15429"/>
    <cellStyle name="Обычный 7 2 2 2 3 2 4 3" xfId="3745"/>
    <cellStyle name="Обычный 7 2 2 2 3 2 4 3 2" xfId="8863"/>
    <cellStyle name="Обычный 7 2 2 2 3 2 4 3 2 2" xfId="15430"/>
    <cellStyle name="Обычный 7 2 2 2 3 2 4 3 3" xfId="15431"/>
    <cellStyle name="Обычный 7 2 2 2 3 2 4 4" xfId="6807"/>
    <cellStyle name="Обычный 7 2 2 2 3 2 4 4 2" xfId="15432"/>
    <cellStyle name="Обычный 7 2 2 2 3 2 4 5" xfId="15433"/>
    <cellStyle name="Обычный 7 2 2 2 3 2 5" xfId="1297"/>
    <cellStyle name="Обычный 7 2 2 2 3 2 5 2" xfId="2406"/>
    <cellStyle name="Обычный 7 2 2 2 3 2 5 2 2" xfId="4944"/>
    <cellStyle name="Обычный 7 2 2 2 3 2 5 2 2 2" xfId="10062"/>
    <cellStyle name="Обычный 7 2 2 2 3 2 5 2 2 2 2" xfId="15434"/>
    <cellStyle name="Обычный 7 2 2 2 3 2 5 2 2 3" xfId="15435"/>
    <cellStyle name="Обычный 7 2 2 2 3 2 5 2 3" xfId="8006"/>
    <cellStyle name="Обычный 7 2 2 2 3 2 5 2 3 2" xfId="15436"/>
    <cellStyle name="Обычный 7 2 2 2 3 2 5 2 4" xfId="15437"/>
    <cellStyle name="Обычный 7 2 2 2 3 2 5 3" xfId="3916"/>
    <cellStyle name="Обычный 7 2 2 2 3 2 5 3 2" xfId="9034"/>
    <cellStyle name="Обычный 7 2 2 2 3 2 5 3 2 2" xfId="15438"/>
    <cellStyle name="Обычный 7 2 2 2 3 2 5 3 3" xfId="15439"/>
    <cellStyle name="Обычный 7 2 2 2 3 2 5 4" xfId="6978"/>
    <cellStyle name="Обычный 7 2 2 2 3 2 5 4 2" xfId="15440"/>
    <cellStyle name="Обычный 7 2 2 2 3 2 5 5" xfId="15441"/>
    <cellStyle name="Обычный 7 2 2 2 3 2 6" xfId="1471"/>
    <cellStyle name="Обычный 7 2 2 2 3 2 6 2" xfId="2577"/>
    <cellStyle name="Обычный 7 2 2 2 3 2 6 2 2" xfId="5115"/>
    <cellStyle name="Обычный 7 2 2 2 3 2 6 2 2 2" xfId="10233"/>
    <cellStyle name="Обычный 7 2 2 2 3 2 6 2 2 2 2" xfId="15442"/>
    <cellStyle name="Обычный 7 2 2 2 3 2 6 2 2 3" xfId="15443"/>
    <cellStyle name="Обычный 7 2 2 2 3 2 6 2 3" xfId="8177"/>
    <cellStyle name="Обычный 7 2 2 2 3 2 6 2 3 2" xfId="15444"/>
    <cellStyle name="Обычный 7 2 2 2 3 2 6 2 4" xfId="15445"/>
    <cellStyle name="Обычный 7 2 2 2 3 2 6 3" xfId="4087"/>
    <cellStyle name="Обычный 7 2 2 2 3 2 6 3 2" xfId="9205"/>
    <cellStyle name="Обычный 7 2 2 2 3 2 6 3 2 2" xfId="15446"/>
    <cellStyle name="Обычный 7 2 2 2 3 2 6 3 3" xfId="15447"/>
    <cellStyle name="Обычный 7 2 2 2 3 2 6 4" xfId="7149"/>
    <cellStyle name="Обычный 7 2 2 2 3 2 6 4 2" xfId="15448"/>
    <cellStyle name="Обычный 7 2 2 2 3 2 6 5" xfId="15449"/>
    <cellStyle name="Обычный 7 2 2 2 3 2 7" xfId="1642"/>
    <cellStyle name="Обычный 7 2 2 2 3 2 7 2" xfId="2748"/>
    <cellStyle name="Обычный 7 2 2 2 3 2 7 2 2" xfId="5286"/>
    <cellStyle name="Обычный 7 2 2 2 3 2 7 2 2 2" xfId="10404"/>
    <cellStyle name="Обычный 7 2 2 2 3 2 7 2 2 2 2" xfId="15450"/>
    <cellStyle name="Обычный 7 2 2 2 3 2 7 2 2 3" xfId="15451"/>
    <cellStyle name="Обычный 7 2 2 2 3 2 7 2 3" xfId="8348"/>
    <cellStyle name="Обычный 7 2 2 2 3 2 7 2 3 2" xfId="15452"/>
    <cellStyle name="Обычный 7 2 2 2 3 2 7 2 4" xfId="15453"/>
    <cellStyle name="Обычный 7 2 2 2 3 2 7 3" xfId="4258"/>
    <cellStyle name="Обычный 7 2 2 2 3 2 7 3 2" xfId="9376"/>
    <cellStyle name="Обычный 7 2 2 2 3 2 7 3 2 2" xfId="15454"/>
    <cellStyle name="Обычный 7 2 2 2 3 2 7 3 3" xfId="15455"/>
    <cellStyle name="Обычный 7 2 2 2 3 2 7 4" xfId="7320"/>
    <cellStyle name="Обычный 7 2 2 2 3 2 7 4 2" xfId="15456"/>
    <cellStyle name="Обычный 7 2 2 2 3 2 7 5" xfId="15457"/>
    <cellStyle name="Обычный 7 2 2 2 3 2 8" xfId="3060"/>
    <cellStyle name="Обычный 7 2 2 2 4" xfId="377"/>
    <cellStyle name="Обычный 7 2 2 2 4 2" xfId="759"/>
    <cellStyle name="Обычный 7 2 2 2 4 2 2" xfId="1887"/>
    <cellStyle name="Обычный 7 2 2 2 4 2 2 2" xfId="4430"/>
    <cellStyle name="Обычный 7 2 2 2 4 2 2 2 2" xfId="9548"/>
    <cellStyle name="Обычный 7 2 2 2 4 2 2 2 2 2" xfId="15458"/>
    <cellStyle name="Обычный 7 2 2 2 4 2 2 2 3" xfId="15459"/>
    <cellStyle name="Обычный 7 2 2 2 4 2 2 3" xfId="7492"/>
    <cellStyle name="Обычный 7 2 2 2 4 2 2 3 2" xfId="15460"/>
    <cellStyle name="Обычный 7 2 2 2 4 2 2 4" xfId="15461"/>
    <cellStyle name="Обычный 7 2 2 2 4 2 3" xfId="3402"/>
    <cellStyle name="Обычный 7 2 2 2 4 2 3 2" xfId="8520"/>
    <cellStyle name="Обычный 7 2 2 2 4 2 3 2 2" xfId="15462"/>
    <cellStyle name="Обычный 7 2 2 2 4 2 3 3" xfId="15463"/>
    <cellStyle name="Обычный 7 2 2 2 4 2 4" xfId="6464"/>
    <cellStyle name="Обычный 7 2 2 2 4 2 4 2" xfId="15464"/>
    <cellStyle name="Обычный 7 2 2 2 4 2 5" xfId="15465"/>
    <cellStyle name="Обычный 7 2 2 2 4 3" xfId="946"/>
    <cellStyle name="Обычный 7 2 2 2 4 3 2" xfId="2065"/>
    <cellStyle name="Обычный 7 2 2 2 4 3 2 2" xfId="4603"/>
    <cellStyle name="Обычный 7 2 2 2 4 3 2 2 2" xfId="9721"/>
    <cellStyle name="Обычный 7 2 2 2 4 3 2 2 2 2" xfId="15466"/>
    <cellStyle name="Обычный 7 2 2 2 4 3 2 2 3" xfId="15467"/>
    <cellStyle name="Обычный 7 2 2 2 4 3 2 3" xfId="7665"/>
    <cellStyle name="Обычный 7 2 2 2 4 3 2 3 2" xfId="15468"/>
    <cellStyle name="Обычный 7 2 2 2 4 3 2 4" xfId="15469"/>
    <cellStyle name="Обычный 7 2 2 2 4 3 3" xfId="3575"/>
    <cellStyle name="Обычный 7 2 2 2 4 3 3 2" xfId="8693"/>
    <cellStyle name="Обычный 7 2 2 2 4 3 3 2 2" xfId="15470"/>
    <cellStyle name="Обычный 7 2 2 2 4 3 3 3" xfId="15471"/>
    <cellStyle name="Обычный 7 2 2 2 4 3 4" xfId="6637"/>
    <cellStyle name="Обычный 7 2 2 2 4 3 4 2" xfId="15472"/>
    <cellStyle name="Обычный 7 2 2 2 4 3 5" xfId="15473"/>
    <cellStyle name="Обычный 7 2 2 2 4 4" xfId="1117"/>
    <cellStyle name="Обычный 7 2 2 2 4 4 2" xfId="2236"/>
    <cellStyle name="Обычный 7 2 2 2 4 4 2 2" xfId="4774"/>
    <cellStyle name="Обычный 7 2 2 2 4 4 2 2 2" xfId="9892"/>
    <cellStyle name="Обычный 7 2 2 2 4 4 2 2 2 2" xfId="15474"/>
    <cellStyle name="Обычный 7 2 2 2 4 4 2 2 3" xfId="15475"/>
    <cellStyle name="Обычный 7 2 2 2 4 4 2 3" xfId="7836"/>
    <cellStyle name="Обычный 7 2 2 2 4 4 2 3 2" xfId="15476"/>
    <cellStyle name="Обычный 7 2 2 2 4 4 2 4" xfId="15477"/>
    <cellStyle name="Обычный 7 2 2 2 4 4 3" xfId="3746"/>
    <cellStyle name="Обычный 7 2 2 2 4 4 3 2" xfId="8864"/>
    <cellStyle name="Обычный 7 2 2 2 4 4 3 2 2" xfId="15478"/>
    <cellStyle name="Обычный 7 2 2 2 4 4 3 3" xfId="15479"/>
    <cellStyle name="Обычный 7 2 2 2 4 4 4" xfId="6808"/>
    <cellStyle name="Обычный 7 2 2 2 4 4 4 2" xfId="15480"/>
    <cellStyle name="Обычный 7 2 2 2 4 4 5" xfId="15481"/>
    <cellStyle name="Обычный 7 2 2 2 4 5" xfId="1298"/>
    <cellStyle name="Обычный 7 2 2 2 4 5 2" xfId="2407"/>
    <cellStyle name="Обычный 7 2 2 2 4 5 2 2" xfId="4945"/>
    <cellStyle name="Обычный 7 2 2 2 4 5 2 2 2" xfId="10063"/>
    <cellStyle name="Обычный 7 2 2 2 4 5 2 2 2 2" xfId="15482"/>
    <cellStyle name="Обычный 7 2 2 2 4 5 2 2 3" xfId="15483"/>
    <cellStyle name="Обычный 7 2 2 2 4 5 2 3" xfId="8007"/>
    <cellStyle name="Обычный 7 2 2 2 4 5 2 3 2" xfId="15484"/>
    <cellStyle name="Обычный 7 2 2 2 4 5 2 4" xfId="15485"/>
    <cellStyle name="Обычный 7 2 2 2 4 5 3" xfId="3917"/>
    <cellStyle name="Обычный 7 2 2 2 4 5 3 2" xfId="9035"/>
    <cellStyle name="Обычный 7 2 2 2 4 5 3 2 2" xfId="15486"/>
    <cellStyle name="Обычный 7 2 2 2 4 5 3 3" xfId="15487"/>
    <cellStyle name="Обычный 7 2 2 2 4 5 4" xfId="6979"/>
    <cellStyle name="Обычный 7 2 2 2 4 5 4 2" xfId="15488"/>
    <cellStyle name="Обычный 7 2 2 2 4 5 5" xfId="15489"/>
    <cellStyle name="Обычный 7 2 2 2 4 6" xfId="1472"/>
    <cellStyle name="Обычный 7 2 2 2 4 6 2" xfId="2578"/>
    <cellStyle name="Обычный 7 2 2 2 4 6 2 2" xfId="5116"/>
    <cellStyle name="Обычный 7 2 2 2 4 6 2 2 2" xfId="10234"/>
    <cellStyle name="Обычный 7 2 2 2 4 6 2 2 2 2" xfId="15490"/>
    <cellStyle name="Обычный 7 2 2 2 4 6 2 2 3" xfId="15491"/>
    <cellStyle name="Обычный 7 2 2 2 4 6 2 3" xfId="8178"/>
    <cellStyle name="Обычный 7 2 2 2 4 6 2 3 2" xfId="15492"/>
    <cellStyle name="Обычный 7 2 2 2 4 6 2 4" xfId="15493"/>
    <cellStyle name="Обычный 7 2 2 2 4 6 3" xfId="4088"/>
    <cellStyle name="Обычный 7 2 2 2 4 6 3 2" xfId="9206"/>
    <cellStyle name="Обычный 7 2 2 2 4 6 3 2 2" xfId="15494"/>
    <cellStyle name="Обычный 7 2 2 2 4 6 3 3" xfId="15495"/>
    <cellStyle name="Обычный 7 2 2 2 4 6 4" xfId="7150"/>
    <cellStyle name="Обычный 7 2 2 2 4 6 4 2" xfId="15496"/>
    <cellStyle name="Обычный 7 2 2 2 4 6 5" xfId="15497"/>
    <cellStyle name="Обычный 7 2 2 2 4 7" xfId="1643"/>
    <cellStyle name="Обычный 7 2 2 2 4 7 2" xfId="2749"/>
    <cellStyle name="Обычный 7 2 2 2 4 7 2 2" xfId="5287"/>
    <cellStyle name="Обычный 7 2 2 2 4 7 2 2 2" xfId="10405"/>
    <cellStyle name="Обычный 7 2 2 2 4 7 2 2 2 2" xfId="15498"/>
    <cellStyle name="Обычный 7 2 2 2 4 7 2 2 3" xfId="15499"/>
    <cellStyle name="Обычный 7 2 2 2 4 7 2 3" xfId="8349"/>
    <cellStyle name="Обычный 7 2 2 2 4 7 2 3 2" xfId="15500"/>
    <cellStyle name="Обычный 7 2 2 2 4 7 2 4" xfId="15501"/>
    <cellStyle name="Обычный 7 2 2 2 4 7 3" xfId="4259"/>
    <cellStyle name="Обычный 7 2 2 2 4 7 3 2" xfId="9377"/>
    <cellStyle name="Обычный 7 2 2 2 4 7 3 2 2" xfId="15502"/>
    <cellStyle name="Обычный 7 2 2 2 4 7 3 3" xfId="15503"/>
    <cellStyle name="Обычный 7 2 2 2 4 7 4" xfId="7321"/>
    <cellStyle name="Обычный 7 2 2 2 4 7 4 2" xfId="15504"/>
    <cellStyle name="Обычный 7 2 2 2 4 7 5" xfId="15505"/>
    <cellStyle name="Обычный 7 2 2 2 4 8" xfId="3061"/>
    <cellStyle name="Обычный 7 2 2 3" xfId="378"/>
    <cellStyle name="Обычный 7 2 2 3 2" xfId="379"/>
    <cellStyle name="Обычный 7 2 2 3 2 2" xfId="760"/>
    <cellStyle name="Обычный 7 2 2 3 2 2 2" xfId="1888"/>
    <cellStyle name="Обычный 7 2 2 3 2 2 2 2" xfId="4431"/>
    <cellStyle name="Обычный 7 2 2 3 2 2 2 2 2" xfId="9549"/>
    <cellStyle name="Обычный 7 2 2 3 2 2 2 2 2 2" xfId="15506"/>
    <cellStyle name="Обычный 7 2 2 3 2 2 2 2 3" xfId="15507"/>
    <cellStyle name="Обычный 7 2 2 3 2 2 2 3" xfId="7493"/>
    <cellStyle name="Обычный 7 2 2 3 2 2 2 3 2" xfId="15508"/>
    <cellStyle name="Обычный 7 2 2 3 2 2 2 4" xfId="15509"/>
    <cellStyle name="Обычный 7 2 2 3 2 2 3" xfId="3403"/>
    <cellStyle name="Обычный 7 2 2 3 2 2 3 2" xfId="8521"/>
    <cellStyle name="Обычный 7 2 2 3 2 2 3 2 2" xfId="15510"/>
    <cellStyle name="Обычный 7 2 2 3 2 2 3 3" xfId="15511"/>
    <cellStyle name="Обычный 7 2 2 3 2 2 4" xfId="6465"/>
    <cellStyle name="Обычный 7 2 2 3 2 2 4 2" xfId="15512"/>
    <cellStyle name="Обычный 7 2 2 3 2 2 5" xfId="15513"/>
    <cellStyle name="Обычный 7 2 2 3 2 3" xfId="947"/>
    <cellStyle name="Обычный 7 2 2 3 2 3 2" xfId="2066"/>
    <cellStyle name="Обычный 7 2 2 3 2 3 2 2" xfId="4604"/>
    <cellStyle name="Обычный 7 2 2 3 2 3 2 2 2" xfId="9722"/>
    <cellStyle name="Обычный 7 2 2 3 2 3 2 2 2 2" xfId="15514"/>
    <cellStyle name="Обычный 7 2 2 3 2 3 2 2 3" xfId="15515"/>
    <cellStyle name="Обычный 7 2 2 3 2 3 2 3" xfId="7666"/>
    <cellStyle name="Обычный 7 2 2 3 2 3 2 3 2" xfId="15516"/>
    <cellStyle name="Обычный 7 2 2 3 2 3 2 4" xfId="15517"/>
    <cellStyle name="Обычный 7 2 2 3 2 3 3" xfId="3576"/>
    <cellStyle name="Обычный 7 2 2 3 2 3 3 2" xfId="8694"/>
    <cellStyle name="Обычный 7 2 2 3 2 3 3 2 2" xfId="15518"/>
    <cellStyle name="Обычный 7 2 2 3 2 3 3 3" xfId="15519"/>
    <cellStyle name="Обычный 7 2 2 3 2 3 4" xfId="6638"/>
    <cellStyle name="Обычный 7 2 2 3 2 3 4 2" xfId="15520"/>
    <cellStyle name="Обычный 7 2 2 3 2 3 5" xfId="15521"/>
    <cellStyle name="Обычный 7 2 2 3 2 4" xfId="1118"/>
    <cellStyle name="Обычный 7 2 2 3 2 4 2" xfId="2237"/>
    <cellStyle name="Обычный 7 2 2 3 2 4 2 2" xfId="4775"/>
    <cellStyle name="Обычный 7 2 2 3 2 4 2 2 2" xfId="9893"/>
    <cellStyle name="Обычный 7 2 2 3 2 4 2 2 2 2" xfId="15522"/>
    <cellStyle name="Обычный 7 2 2 3 2 4 2 2 3" xfId="15523"/>
    <cellStyle name="Обычный 7 2 2 3 2 4 2 3" xfId="7837"/>
    <cellStyle name="Обычный 7 2 2 3 2 4 2 3 2" xfId="15524"/>
    <cellStyle name="Обычный 7 2 2 3 2 4 2 4" xfId="15525"/>
    <cellStyle name="Обычный 7 2 2 3 2 4 3" xfId="3747"/>
    <cellStyle name="Обычный 7 2 2 3 2 4 3 2" xfId="8865"/>
    <cellStyle name="Обычный 7 2 2 3 2 4 3 2 2" xfId="15526"/>
    <cellStyle name="Обычный 7 2 2 3 2 4 3 3" xfId="15527"/>
    <cellStyle name="Обычный 7 2 2 3 2 4 4" xfId="6809"/>
    <cellStyle name="Обычный 7 2 2 3 2 4 4 2" xfId="15528"/>
    <cellStyle name="Обычный 7 2 2 3 2 4 5" xfId="15529"/>
    <cellStyle name="Обычный 7 2 2 3 2 5" xfId="1299"/>
    <cellStyle name="Обычный 7 2 2 3 2 5 2" xfId="2408"/>
    <cellStyle name="Обычный 7 2 2 3 2 5 2 2" xfId="4946"/>
    <cellStyle name="Обычный 7 2 2 3 2 5 2 2 2" xfId="10064"/>
    <cellStyle name="Обычный 7 2 2 3 2 5 2 2 2 2" xfId="15530"/>
    <cellStyle name="Обычный 7 2 2 3 2 5 2 2 3" xfId="15531"/>
    <cellStyle name="Обычный 7 2 2 3 2 5 2 3" xfId="8008"/>
    <cellStyle name="Обычный 7 2 2 3 2 5 2 3 2" xfId="15532"/>
    <cellStyle name="Обычный 7 2 2 3 2 5 2 4" xfId="15533"/>
    <cellStyle name="Обычный 7 2 2 3 2 5 3" xfId="3918"/>
    <cellStyle name="Обычный 7 2 2 3 2 5 3 2" xfId="9036"/>
    <cellStyle name="Обычный 7 2 2 3 2 5 3 2 2" xfId="15534"/>
    <cellStyle name="Обычный 7 2 2 3 2 5 3 3" xfId="15535"/>
    <cellStyle name="Обычный 7 2 2 3 2 5 4" xfId="6980"/>
    <cellStyle name="Обычный 7 2 2 3 2 5 4 2" xfId="15536"/>
    <cellStyle name="Обычный 7 2 2 3 2 5 5" xfId="15537"/>
    <cellStyle name="Обычный 7 2 2 3 2 6" xfId="1473"/>
    <cellStyle name="Обычный 7 2 2 3 2 6 2" xfId="2579"/>
    <cellStyle name="Обычный 7 2 2 3 2 6 2 2" xfId="5117"/>
    <cellStyle name="Обычный 7 2 2 3 2 6 2 2 2" xfId="10235"/>
    <cellStyle name="Обычный 7 2 2 3 2 6 2 2 2 2" xfId="15538"/>
    <cellStyle name="Обычный 7 2 2 3 2 6 2 2 3" xfId="15539"/>
    <cellStyle name="Обычный 7 2 2 3 2 6 2 3" xfId="8179"/>
    <cellStyle name="Обычный 7 2 2 3 2 6 2 3 2" xfId="15540"/>
    <cellStyle name="Обычный 7 2 2 3 2 6 2 4" xfId="15541"/>
    <cellStyle name="Обычный 7 2 2 3 2 6 3" xfId="4089"/>
    <cellStyle name="Обычный 7 2 2 3 2 6 3 2" xfId="9207"/>
    <cellStyle name="Обычный 7 2 2 3 2 6 3 2 2" xfId="15542"/>
    <cellStyle name="Обычный 7 2 2 3 2 6 3 3" xfId="15543"/>
    <cellStyle name="Обычный 7 2 2 3 2 6 4" xfId="7151"/>
    <cellStyle name="Обычный 7 2 2 3 2 6 4 2" xfId="15544"/>
    <cellStyle name="Обычный 7 2 2 3 2 6 5" xfId="15545"/>
    <cellStyle name="Обычный 7 2 2 3 2 7" xfId="1644"/>
    <cellStyle name="Обычный 7 2 2 3 2 7 2" xfId="2750"/>
    <cellStyle name="Обычный 7 2 2 3 2 7 2 2" xfId="5288"/>
    <cellStyle name="Обычный 7 2 2 3 2 7 2 2 2" xfId="10406"/>
    <cellStyle name="Обычный 7 2 2 3 2 7 2 2 2 2" xfId="15546"/>
    <cellStyle name="Обычный 7 2 2 3 2 7 2 2 3" xfId="15547"/>
    <cellStyle name="Обычный 7 2 2 3 2 7 2 3" xfId="8350"/>
    <cellStyle name="Обычный 7 2 2 3 2 7 2 3 2" xfId="15548"/>
    <cellStyle name="Обычный 7 2 2 3 2 7 2 4" xfId="15549"/>
    <cellStyle name="Обычный 7 2 2 3 2 7 3" xfId="4260"/>
    <cellStyle name="Обычный 7 2 2 3 2 7 3 2" xfId="9378"/>
    <cellStyle name="Обычный 7 2 2 3 2 7 3 2 2" xfId="15550"/>
    <cellStyle name="Обычный 7 2 2 3 2 7 3 3" xfId="15551"/>
    <cellStyle name="Обычный 7 2 2 3 2 7 4" xfId="7322"/>
    <cellStyle name="Обычный 7 2 2 3 2 7 4 2" xfId="15552"/>
    <cellStyle name="Обычный 7 2 2 3 2 7 5" xfId="15553"/>
    <cellStyle name="Обычный 7 2 2 3 2 8" xfId="3062"/>
    <cellStyle name="Обычный 7 2 2 4" xfId="380"/>
    <cellStyle name="Обычный 7 2 2 4 2" xfId="381"/>
    <cellStyle name="Обычный 7 2 2 4 2 2" xfId="761"/>
    <cellStyle name="Обычный 7 2 2 4 2 2 2" xfId="1889"/>
    <cellStyle name="Обычный 7 2 2 4 2 2 2 2" xfId="4432"/>
    <cellStyle name="Обычный 7 2 2 4 2 2 2 2 2" xfId="9550"/>
    <cellStyle name="Обычный 7 2 2 4 2 2 2 2 2 2" xfId="15554"/>
    <cellStyle name="Обычный 7 2 2 4 2 2 2 2 3" xfId="15555"/>
    <cellStyle name="Обычный 7 2 2 4 2 2 2 3" xfId="7494"/>
    <cellStyle name="Обычный 7 2 2 4 2 2 2 3 2" xfId="15556"/>
    <cellStyle name="Обычный 7 2 2 4 2 2 2 4" xfId="15557"/>
    <cellStyle name="Обычный 7 2 2 4 2 2 3" xfId="3404"/>
    <cellStyle name="Обычный 7 2 2 4 2 2 3 2" xfId="8522"/>
    <cellStyle name="Обычный 7 2 2 4 2 2 3 2 2" xfId="15558"/>
    <cellStyle name="Обычный 7 2 2 4 2 2 3 3" xfId="15559"/>
    <cellStyle name="Обычный 7 2 2 4 2 2 4" xfId="6466"/>
    <cellStyle name="Обычный 7 2 2 4 2 2 4 2" xfId="15560"/>
    <cellStyle name="Обычный 7 2 2 4 2 2 5" xfId="15561"/>
    <cellStyle name="Обычный 7 2 2 4 2 3" xfId="948"/>
    <cellStyle name="Обычный 7 2 2 4 2 3 2" xfId="2067"/>
    <cellStyle name="Обычный 7 2 2 4 2 3 2 2" xfId="4605"/>
    <cellStyle name="Обычный 7 2 2 4 2 3 2 2 2" xfId="9723"/>
    <cellStyle name="Обычный 7 2 2 4 2 3 2 2 2 2" xfId="15562"/>
    <cellStyle name="Обычный 7 2 2 4 2 3 2 2 3" xfId="15563"/>
    <cellStyle name="Обычный 7 2 2 4 2 3 2 3" xfId="7667"/>
    <cellStyle name="Обычный 7 2 2 4 2 3 2 3 2" xfId="15564"/>
    <cellStyle name="Обычный 7 2 2 4 2 3 2 4" xfId="15565"/>
    <cellStyle name="Обычный 7 2 2 4 2 3 3" xfId="3577"/>
    <cellStyle name="Обычный 7 2 2 4 2 3 3 2" xfId="8695"/>
    <cellStyle name="Обычный 7 2 2 4 2 3 3 2 2" xfId="15566"/>
    <cellStyle name="Обычный 7 2 2 4 2 3 3 3" xfId="15567"/>
    <cellStyle name="Обычный 7 2 2 4 2 3 4" xfId="6639"/>
    <cellStyle name="Обычный 7 2 2 4 2 3 4 2" xfId="15568"/>
    <cellStyle name="Обычный 7 2 2 4 2 3 5" xfId="15569"/>
    <cellStyle name="Обычный 7 2 2 4 2 4" xfId="1119"/>
    <cellStyle name="Обычный 7 2 2 4 2 4 2" xfId="2238"/>
    <cellStyle name="Обычный 7 2 2 4 2 4 2 2" xfId="4776"/>
    <cellStyle name="Обычный 7 2 2 4 2 4 2 2 2" xfId="9894"/>
    <cellStyle name="Обычный 7 2 2 4 2 4 2 2 2 2" xfId="15570"/>
    <cellStyle name="Обычный 7 2 2 4 2 4 2 2 3" xfId="15571"/>
    <cellStyle name="Обычный 7 2 2 4 2 4 2 3" xfId="7838"/>
    <cellStyle name="Обычный 7 2 2 4 2 4 2 3 2" xfId="15572"/>
    <cellStyle name="Обычный 7 2 2 4 2 4 2 4" xfId="15573"/>
    <cellStyle name="Обычный 7 2 2 4 2 4 3" xfId="3748"/>
    <cellStyle name="Обычный 7 2 2 4 2 4 3 2" xfId="8866"/>
    <cellStyle name="Обычный 7 2 2 4 2 4 3 2 2" xfId="15574"/>
    <cellStyle name="Обычный 7 2 2 4 2 4 3 3" xfId="15575"/>
    <cellStyle name="Обычный 7 2 2 4 2 4 4" xfId="6810"/>
    <cellStyle name="Обычный 7 2 2 4 2 4 4 2" xfId="15576"/>
    <cellStyle name="Обычный 7 2 2 4 2 4 5" xfId="15577"/>
    <cellStyle name="Обычный 7 2 2 4 2 5" xfId="1300"/>
    <cellStyle name="Обычный 7 2 2 4 2 5 2" xfId="2409"/>
    <cellStyle name="Обычный 7 2 2 4 2 5 2 2" xfId="4947"/>
    <cellStyle name="Обычный 7 2 2 4 2 5 2 2 2" xfId="10065"/>
    <cellStyle name="Обычный 7 2 2 4 2 5 2 2 2 2" xfId="15578"/>
    <cellStyle name="Обычный 7 2 2 4 2 5 2 2 3" xfId="15579"/>
    <cellStyle name="Обычный 7 2 2 4 2 5 2 3" xfId="8009"/>
    <cellStyle name="Обычный 7 2 2 4 2 5 2 3 2" xfId="15580"/>
    <cellStyle name="Обычный 7 2 2 4 2 5 2 4" xfId="15581"/>
    <cellStyle name="Обычный 7 2 2 4 2 5 3" xfId="3919"/>
    <cellStyle name="Обычный 7 2 2 4 2 5 3 2" xfId="9037"/>
    <cellStyle name="Обычный 7 2 2 4 2 5 3 2 2" xfId="15582"/>
    <cellStyle name="Обычный 7 2 2 4 2 5 3 3" xfId="15583"/>
    <cellStyle name="Обычный 7 2 2 4 2 5 4" xfId="6981"/>
    <cellStyle name="Обычный 7 2 2 4 2 5 4 2" xfId="15584"/>
    <cellStyle name="Обычный 7 2 2 4 2 5 5" xfId="15585"/>
    <cellStyle name="Обычный 7 2 2 4 2 6" xfId="1474"/>
    <cellStyle name="Обычный 7 2 2 4 2 6 2" xfId="2580"/>
    <cellStyle name="Обычный 7 2 2 4 2 6 2 2" xfId="5118"/>
    <cellStyle name="Обычный 7 2 2 4 2 6 2 2 2" xfId="10236"/>
    <cellStyle name="Обычный 7 2 2 4 2 6 2 2 2 2" xfId="15586"/>
    <cellStyle name="Обычный 7 2 2 4 2 6 2 2 3" xfId="15587"/>
    <cellStyle name="Обычный 7 2 2 4 2 6 2 3" xfId="8180"/>
    <cellStyle name="Обычный 7 2 2 4 2 6 2 3 2" xfId="15588"/>
    <cellStyle name="Обычный 7 2 2 4 2 6 2 4" xfId="15589"/>
    <cellStyle name="Обычный 7 2 2 4 2 6 3" xfId="4090"/>
    <cellStyle name="Обычный 7 2 2 4 2 6 3 2" xfId="9208"/>
    <cellStyle name="Обычный 7 2 2 4 2 6 3 2 2" xfId="15590"/>
    <cellStyle name="Обычный 7 2 2 4 2 6 3 3" xfId="15591"/>
    <cellStyle name="Обычный 7 2 2 4 2 6 4" xfId="7152"/>
    <cellStyle name="Обычный 7 2 2 4 2 6 4 2" xfId="15592"/>
    <cellStyle name="Обычный 7 2 2 4 2 6 5" xfId="15593"/>
    <cellStyle name="Обычный 7 2 2 4 2 7" xfId="1645"/>
    <cellStyle name="Обычный 7 2 2 4 2 7 2" xfId="2751"/>
    <cellStyle name="Обычный 7 2 2 4 2 7 2 2" xfId="5289"/>
    <cellStyle name="Обычный 7 2 2 4 2 7 2 2 2" xfId="10407"/>
    <cellStyle name="Обычный 7 2 2 4 2 7 2 2 2 2" xfId="15594"/>
    <cellStyle name="Обычный 7 2 2 4 2 7 2 2 3" xfId="15595"/>
    <cellStyle name="Обычный 7 2 2 4 2 7 2 3" xfId="8351"/>
    <cellStyle name="Обычный 7 2 2 4 2 7 2 3 2" xfId="15596"/>
    <cellStyle name="Обычный 7 2 2 4 2 7 2 4" xfId="15597"/>
    <cellStyle name="Обычный 7 2 2 4 2 7 3" xfId="4261"/>
    <cellStyle name="Обычный 7 2 2 4 2 7 3 2" xfId="9379"/>
    <cellStyle name="Обычный 7 2 2 4 2 7 3 2 2" xfId="15598"/>
    <cellStyle name="Обычный 7 2 2 4 2 7 3 3" xfId="15599"/>
    <cellStyle name="Обычный 7 2 2 4 2 7 4" xfId="7323"/>
    <cellStyle name="Обычный 7 2 2 4 2 7 4 2" xfId="15600"/>
    <cellStyle name="Обычный 7 2 2 4 2 7 5" xfId="15601"/>
    <cellStyle name="Обычный 7 2 2 4 2 8" xfId="3063"/>
    <cellStyle name="Обычный 7 2 2 5" xfId="382"/>
    <cellStyle name="Обычный 7 2 2 5 2" xfId="762"/>
    <cellStyle name="Обычный 7 2 2 5 2 2" xfId="1890"/>
    <cellStyle name="Обычный 7 2 2 5 2 2 2" xfId="4433"/>
    <cellStyle name="Обычный 7 2 2 5 2 2 2 2" xfId="9551"/>
    <cellStyle name="Обычный 7 2 2 5 2 2 2 2 2" xfId="15602"/>
    <cellStyle name="Обычный 7 2 2 5 2 2 2 3" xfId="15603"/>
    <cellStyle name="Обычный 7 2 2 5 2 2 3" xfId="7495"/>
    <cellStyle name="Обычный 7 2 2 5 2 2 3 2" xfId="15604"/>
    <cellStyle name="Обычный 7 2 2 5 2 2 4" xfId="15605"/>
    <cellStyle name="Обычный 7 2 2 5 2 3" xfId="3405"/>
    <cellStyle name="Обычный 7 2 2 5 2 3 2" xfId="8523"/>
    <cellStyle name="Обычный 7 2 2 5 2 3 2 2" xfId="15606"/>
    <cellStyle name="Обычный 7 2 2 5 2 3 3" xfId="15607"/>
    <cellStyle name="Обычный 7 2 2 5 2 4" xfId="6467"/>
    <cellStyle name="Обычный 7 2 2 5 2 4 2" xfId="15608"/>
    <cellStyle name="Обычный 7 2 2 5 2 5" xfId="15609"/>
    <cellStyle name="Обычный 7 2 2 5 3" xfId="949"/>
    <cellStyle name="Обычный 7 2 2 5 3 2" xfId="2068"/>
    <cellStyle name="Обычный 7 2 2 5 3 2 2" xfId="4606"/>
    <cellStyle name="Обычный 7 2 2 5 3 2 2 2" xfId="9724"/>
    <cellStyle name="Обычный 7 2 2 5 3 2 2 2 2" xfId="15610"/>
    <cellStyle name="Обычный 7 2 2 5 3 2 2 3" xfId="15611"/>
    <cellStyle name="Обычный 7 2 2 5 3 2 3" xfId="7668"/>
    <cellStyle name="Обычный 7 2 2 5 3 2 3 2" xfId="15612"/>
    <cellStyle name="Обычный 7 2 2 5 3 2 4" xfId="15613"/>
    <cellStyle name="Обычный 7 2 2 5 3 3" xfId="3578"/>
    <cellStyle name="Обычный 7 2 2 5 3 3 2" xfId="8696"/>
    <cellStyle name="Обычный 7 2 2 5 3 3 2 2" xfId="15614"/>
    <cellStyle name="Обычный 7 2 2 5 3 3 3" xfId="15615"/>
    <cellStyle name="Обычный 7 2 2 5 3 4" xfId="6640"/>
    <cellStyle name="Обычный 7 2 2 5 3 4 2" xfId="15616"/>
    <cellStyle name="Обычный 7 2 2 5 3 5" xfId="15617"/>
    <cellStyle name="Обычный 7 2 2 5 4" xfId="1120"/>
    <cellStyle name="Обычный 7 2 2 5 4 2" xfId="2239"/>
    <cellStyle name="Обычный 7 2 2 5 4 2 2" xfId="4777"/>
    <cellStyle name="Обычный 7 2 2 5 4 2 2 2" xfId="9895"/>
    <cellStyle name="Обычный 7 2 2 5 4 2 2 2 2" xfId="15618"/>
    <cellStyle name="Обычный 7 2 2 5 4 2 2 3" xfId="15619"/>
    <cellStyle name="Обычный 7 2 2 5 4 2 3" xfId="7839"/>
    <cellStyle name="Обычный 7 2 2 5 4 2 3 2" xfId="15620"/>
    <cellStyle name="Обычный 7 2 2 5 4 2 4" xfId="15621"/>
    <cellStyle name="Обычный 7 2 2 5 4 3" xfId="3749"/>
    <cellStyle name="Обычный 7 2 2 5 4 3 2" xfId="8867"/>
    <cellStyle name="Обычный 7 2 2 5 4 3 2 2" xfId="15622"/>
    <cellStyle name="Обычный 7 2 2 5 4 3 3" xfId="15623"/>
    <cellStyle name="Обычный 7 2 2 5 4 4" xfId="6811"/>
    <cellStyle name="Обычный 7 2 2 5 4 4 2" xfId="15624"/>
    <cellStyle name="Обычный 7 2 2 5 4 5" xfId="15625"/>
    <cellStyle name="Обычный 7 2 2 5 5" xfId="1301"/>
    <cellStyle name="Обычный 7 2 2 5 5 2" xfId="2410"/>
    <cellStyle name="Обычный 7 2 2 5 5 2 2" xfId="4948"/>
    <cellStyle name="Обычный 7 2 2 5 5 2 2 2" xfId="10066"/>
    <cellStyle name="Обычный 7 2 2 5 5 2 2 2 2" xfId="15626"/>
    <cellStyle name="Обычный 7 2 2 5 5 2 2 3" xfId="15627"/>
    <cellStyle name="Обычный 7 2 2 5 5 2 3" xfId="8010"/>
    <cellStyle name="Обычный 7 2 2 5 5 2 3 2" xfId="15628"/>
    <cellStyle name="Обычный 7 2 2 5 5 2 4" xfId="15629"/>
    <cellStyle name="Обычный 7 2 2 5 5 3" xfId="3920"/>
    <cellStyle name="Обычный 7 2 2 5 5 3 2" xfId="9038"/>
    <cellStyle name="Обычный 7 2 2 5 5 3 2 2" xfId="15630"/>
    <cellStyle name="Обычный 7 2 2 5 5 3 3" xfId="15631"/>
    <cellStyle name="Обычный 7 2 2 5 5 4" xfId="6982"/>
    <cellStyle name="Обычный 7 2 2 5 5 4 2" xfId="15632"/>
    <cellStyle name="Обычный 7 2 2 5 5 5" xfId="15633"/>
    <cellStyle name="Обычный 7 2 2 5 6" xfId="1475"/>
    <cellStyle name="Обычный 7 2 2 5 6 2" xfId="2581"/>
    <cellStyle name="Обычный 7 2 2 5 6 2 2" xfId="5119"/>
    <cellStyle name="Обычный 7 2 2 5 6 2 2 2" xfId="10237"/>
    <cellStyle name="Обычный 7 2 2 5 6 2 2 2 2" xfId="15634"/>
    <cellStyle name="Обычный 7 2 2 5 6 2 2 3" xfId="15635"/>
    <cellStyle name="Обычный 7 2 2 5 6 2 3" xfId="8181"/>
    <cellStyle name="Обычный 7 2 2 5 6 2 3 2" xfId="15636"/>
    <cellStyle name="Обычный 7 2 2 5 6 2 4" xfId="15637"/>
    <cellStyle name="Обычный 7 2 2 5 6 3" xfId="4091"/>
    <cellStyle name="Обычный 7 2 2 5 6 3 2" xfId="9209"/>
    <cellStyle name="Обычный 7 2 2 5 6 3 2 2" xfId="15638"/>
    <cellStyle name="Обычный 7 2 2 5 6 3 3" xfId="15639"/>
    <cellStyle name="Обычный 7 2 2 5 6 4" xfId="7153"/>
    <cellStyle name="Обычный 7 2 2 5 6 4 2" xfId="15640"/>
    <cellStyle name="Обычный 7 2 2 5 6 5" xfId="15641"/>
    <cellStyle name="Обычный 7 2 2 5 7" xfId="1646"/>
    <cellStyle name="Обычный 7 2 2 5 7 2" xfId="2752"/>
    <cellStyle name="Обычный 7 2 2 5 7 2 2" xfId="5290"/>
    <cellStyle name="Обычный 7 2 2 5 7 2 2 2" xfId="10408"/>
    <cellStyle name="Обычный 7 2 2 5 7 2 2 2 2" xfId="15642"/>
    <cellStyle name="Обычный 7 2 2 5 7 2 2 3" xfId="15643"/>
    <cellStyle name="Обычный 7 2 2 5 7 2 3" xfId="8352"/>
    <cellStyle name="Обычный 7 2 2 5 7 2 3 2" xfId="15644"/>
    <cellStyle name="Обычный 7 2 2 5 7 2 4" xfId="15645"/>
    <cellStyle name="Обычный 7 2 2 5 7 3" xfId="4262"/>
    <cellStyle name="Обычный 7 2 2 5 7 3 2" xfId="9380"/>
    <cellStyle name="Обычный 7 2 2 5 7 3 2 2" xfId="15646"/>
    <cellStyle name="Обычный 7 2 2 5 7 3 3" xfId="15647"/>
    <cellStyle name="Обычный 7 2 2 5 7 4" xfId="7324"/>
    <cellStyle name="Обычный 7 2 2 5 7 4 2" xfId="15648"/>
    <cellStyle name="Обычный 7 2 2 5 7 5" xfId="15649"/>
    <cellStyle name="Обычный 7 2 2 5 8" xfId="3064"/>
    <cellStyle name="Обычный 7 2 3" xfId="383"/>
    <cellStyle name="Обычный 7 2 3 2" xfId="384"/>
    <cellStyle name="Обычный 7 2 3 2 2" xfId="385"/>
    <cellStyle name="Обычный 7 2 3 2 2 2" xfId="386"/>
    <cellStyle name="Обычный 7 2 3 2 2 2 2" xfId="763"/>
    <cellStyle name="Обычный 7 2 3 2 2 2 2 2" xfId="1891"/>
    <cellStyle name="Обычный 7 2 3 2 2 2 2 2 2" xfId="4434"/>
    <cellStyle name="Обычный 7 2 3 2 2 2 2 2 2 2" xfId="9552"/>
    <cellStyle name="Обычный 7 2 3 2 2 2 2 2 2 2 2" xfId="15650"/>
    <cellStyle name="Обычный 7 2 3 2 2 2 2 2 2 3" xfId="15651"/>
    <cellStyle name="Обычный 7 2 3 2 2 2 2 2 3" xfId="7496"/>
    <cellStyle name="Обычный 7 2 3 2 2 2 2 2 3 2" xfId="15652"/>
    <cellStyle name="Обычный 7 2 3 2 2 2 2 2 4" xfId="15653"/>
    <cellStyle name="Обычный 7 2 3 2 2 2 2 3" xfId="3406"/>
    <cellStyle name="Обычный 7 2 3 2 2 2 2 3 2" xfId="8524"/>
    <cellStyle name="Обычный 7 2 3 2 2 2 2 3 2 2" xfId="15654"/>
    <cellStyle name="Обычный 7 2 3 2 2 2 2 3 3" xfId="15655"/>
    <cellStyle name="Обычный 7 2 3 2 2 2 2 4" xfId="6468"/>
    <cellStyle name="Обычный 7 2 3 2 2 2 2 4 2" xfId="15656"/>
    <cellStyle name="Обычный 7 2 3 2 2 2 2 5" xfId="15657"/>
    <cellStyle name="Обычный 7 2 3 2 2 2 3" xfId="950"/>
    <cellStyle name="Обычный 7 2 3 2 2 2 3 2" xfId="2069"/>
    <cellStyle name="Обычный 7 2 3 2 2 2 3 2 2" xfId="4607"/>
    <cellStyle name="Обычный 7 2 3 2 2 2 3 2 2 2" xfId="9725"/>
    <cellStyle name="Обычный 7 2 3 2 2 2 3 2 2 2 2" xfId="15658"/>
    <cellStyle name="Обычный 7 2 3 2 2 2 3 2 2 3" xfId="15659"/>
    <cellStyle name="Обычный 7 2 3 2 2 2 3 2 3" xfId="7669"/>
    <cellStyle name="Обычный 7 2 3 2 2 2 3 2 3 2" xfId="15660"/>
    <cellStyle name="Обычный 7 2 3 2 2 2 3 2 4" xfId="15661"/>
    <cellStyle name="Обычный 7 2 3 2 2 2 3 3" xfId="3579"/>
    <cellStyle name="Обычный 7 2 3 2 2 2 3 3 2" xfId="8697"/>
    <cellStyle name="Обычный 7 2 3 2 2 2 3 3 2 2" xfId="15662"/>
    <cellStyle name="Обычный 7 2 3 2 2 2 3 3 3" xfId="15663"/>
    <cellStyle name="Обычный 7 2 3 2 2 2 3 4" xfId="6641"/>
    <cellStyle name="Обычный 7 2 3 2 2 2 3 4 2" xfId="15664"/>
    <cellStyle name="Обычный 7 2 3 2 2 2 3 5" xfId="15665"/>
    <cellStyle name="Обычный 7 2 3 2 2 2 4" xfId="1121"/>
    <cellStyle name="Обычный 7 2 3 2 2 2 4 2" xfId="2240"/>
    <cellStyle name="Обычный 7 2 3 2 2 2 4 2 2" xfId="4778"/>
    <cellStyle name="Обычный 7 2 3 2 2 2 4 2 2 2" xfId="9896"/>
    <cellStyle name="Обычный 7 2 3 2 2 2 4 2 2 2 2" xfId="15666"/>
    <cellStyle name="Обычный 7 2 3 2 2 2 4 2 2 3" xfId="15667"/>
    <cellStyle name="Обычный 7 2 3 2 2 2 4 2 3" xfId="7840"/>
    <cellStyle name="Обычный 7 2 3 2 2 2 4 2 3 2" xfId="15668"/>
    <cellStyle name="Обычный 7 2 3 2 2 2 4 2 4" xfId="15669"/>
    <cellStyle name="Обычный 7 2 3 2 2 2 4 3" xfId="3750"/>
    <cellStyle name="Обычный 7 2 3 2 2 2 4 3 2" xfId="8868"/>
    <cellStyle name="Обычный 7 2 3 2 2 2 4 3 2 2" xfId="15670"/>
    <cellStyle name="Обычный 7 2 3 2 2 2 4 3 3" xfId="15671"/>
    <cellStyle name="Обычный 7 2 3 2 2 2 4 4" xfId="6812"/>
    <cellStyle name="Обычный 7 2 3 2 2 2 4 4 2" xfId="15672"/>
    <cellStyle name="Обычный 7 2 3 2 2 2 4 5" xfId="15673"/>
    <cellStyle name="Обычный 7 2 3 2 2 2 5" xfId="1302"/>
    <cellStyle name="Обычный 7 2 3 2 2 2 5 2" xfId="2411"/>
    <cellStyle name="Обычный 7 2 3 2 2 2 5 2 2" xfId="4949"/>
    <cellStyle name="Обычный 7 2 3 2 2 2 5 2 2 2" xfId="10067"/>
    <cellStyle name="Обычный 7 2 3 2 2 2 5 2 2 2 2" xfId="15674"/>
    <cellStyle name="Обычный 7 2 3 2 2 2 5 2 2 3" xfId="15675"/>
    <cellStyle name="Обычный 7 2 3 2 2 2 5 2 3" xfId="8011"/>
    <cellStyle name="Обычный 7 2 3 2 2 2 5 2 3 2" xfId="15676"/>
    <cellStyle name="Обычный 7 2 3 2 2 2 5 2 4" xfId="15677"/>
    <cellStyle name="Обычный 7 2 3 2 2 2 5 3" xfId="3921"/>
    <cellStyle name="Обычный 7 2 3 2 2 2 5 3 2" xfId="9039"/>
    <cellStyle name="Обычный 7 2 3 2 2 2 5 3 2 2" xfId="15678"/>
    <cellStyle name="Обычный 7 2 3 2 2 2 5 3 3" xfId="15679"/>
    <cellStyle name="Обычный 7 2 3 2 2 2 5 4" xfId="6983"/>
    <cellStyle name="Обычный 7 2 3 2 2 2 5 4 2" xfId="15680"/>
    <cellStyle name="Обычный 7 2 3 2 2 2 5 5" xfId="15681"/>
    <cellStyle name="Обычный 7 2 3 2 2 2 6" xfId="1476"/>
    <cellStyle name="Обычный 7 2 3 2 2 2 6 2" xfId="2582"/>
    <cellStyle name="Обычный 7 2 3 2 2 2 6 2 2" xfId="5120"/>
    <cellStyle name="Обычный 7 2 3 2 2 2 6 2 2 2" xfId="10238"/>
    <cellStyle name="Обычный 7 2 3 2 2 2 6 2 2 2 2" xfId="15682"/>
    <cellStyle name="Обычный 7 2 3 2 2 2 6 2 2 3" xfId="15683"/>
    <cellStyle name="Обычный 7 2 3 2 2 2 6 2 3" xfId="8182"/>
    <cellStyle name="Обычный 7 2 3 2 2 2 6 2 3 2" xfId="15684"/>
    <cellStyle name="Обычный 7 2 3 2 2 2 6 2 4" xfId="15685"/>
    <cellStyle name="Обычный 7 2 3 2 2 2 6 3" xfId="4092"/>
    <cellStyle name="Обычный 7 2 3 2 2 2 6 3 2" xfId="9210"/>
    <cellStyle name="Обычный 7 2 3 2 2 2 6 3 2 2" xfId="15686"/>
    <cellStyle name="Обычный 7 2 3 2 2 2 6 3 3" xfId="15687"/>
    <cellStyle name="Обычный 7 2 3 2 2 2 6 4" xfId="7154"/>
    <cellStyle name="Обычный 7 2 3 2 2 2 6 4 2" xfId="15688"/>
    <cellStyle name="Обычный 7 2 3 2 2 2 6 5" xfId="15689"/>
    <cellStyle name="Обычный 7 2 3 2 2 2 7" xfId="1647"/>
    <cellStyle name="Обычный 7 2 3 2 2 2 7 2" xfId="2753"/>
    <cellStyle name="Обычный 7 2 3 2 2 2 7 2 2" xfId="5291"/>
    <cellStyle name="Обычный 7 2 3 2 2 2 7 2 2 2" xfId="10409"/>
    <cellStyle name="Обычный 7 2 3 2 2 2 7 2 2 2 2" xfId="15690"/>
    <cellStyle name="Обычный 7 2 3 2 2 2 7 2 2 3" xfId="15691"/>
    <cellStyle name="Обычный 7 2 3 2 2 2 7 2 3" xfId="8353"/>
    <cellStyle name="Обычный 7 2 3 2 2 2 7 2 3 2" xfId="15692"/>
    <cellStyle name="Обычный 7 2 3 2 2 2 7 2 4" xfId="15693"/>
    <cellStyle name="Обычный 7 2 3 2 2 2 7 3" xfId="4263"/>
    <cellStyle name="Обычный 7 2 3 2 2 2 7 3 2" xfId="9381"/>
    <cellStyle name="Обычный 7 2 3 2 2 2 7 3 2 2" xfId="15694"/>
    <cellStyle name="Обычный 7 2 3 2 2 2 7 3 3" xfId="15695"/>
    <cellStyle name="Обычный 7 2 3 2 2 2 7 4" xfId="7325"/>
    <cellStyle name="Обычный 7 2 3 2 2 2 7 4 2" xfId="15696"/>
    <cellStyle name="Обычный 7 2 3 2 2 2 7 5" xfId="15697"/>
    <cellStyle name="Обычный 7 2 3 2 2 2 8" xfId="3065"/>
    <cellStyle name="Обычный 7 2 3 2 3" xfId="387"/>
    <cellStyle name="Обычный 7 2 3 2 3 2" xfId="388"/>
    <cellStyle name="Обычный 7 2 3 2 3 2 2" xfId="764"/>
    <cellStyle name="Обычный 7 2 3 2 3 2 2 2" xfId="1892"/>
    <cellStyle name="Обычный 7 2 3 2 3 2 2 2 2" xfId="4435"/>
    <cellStyle name="Обычный 7 2 3 2 3 2 2 2 2 2" xfId="9553"/>
    <cellStyle name="Обычный 7 2 3 2 3 2 2 2 2 2 2" xfId="15698"/>
    <cellStyle name="Обычный 7 2 3 2 3 2 2 2 2 3" xfId="15699"/>
    <cellStyle name="Обычный 7 2 3 2 3 2 2 2 3" xfId="7497"/>
    <cellStyle name="Обычный 7 2 3 2 3 2 2 2 3 2" xfId="15700"/>
    <cellStyle name="Обычный 7 2 3 2 3 2 2 2 4" xfId="15701"/>
    <cellStyle name="Обычный 7 2 3 2 3 2 2 3" xfId="3407"/>
    <cellStyle name="Обычный 7 2 3 2 3 2 2 3 2" xfId="8525"/>
    <cellStyle name="Обычный 7 2 3 2 3 2 2 3 2 2" xfId="15702"/>
    <cellStyle name="Обычный 7 2 3 2 3 2 2 3 3" xfId="15703"/>
    <cellStyle name="Обычный 7 2 3 2 3 2 2 4" xfId="6469"/>
    <cellStyle name="Обычный 7 2 3 2 3 2 2 4 2" xfId="15704"/>
    <cellStyle name="Обычный 7 2 3 2 3 2 2 5" xfId="15705"/>
    <cellStyle name="Обычный 7 2 3 2 3 2 3" xfId="951"/>
    <cellStyle name="Обычный 7 2 3 2 3 2 3 2" xfId="2070"/>
    <cellStyle name="Обычный 7 2 3 2 3 2 3 2 2" xfId="4608"/>
    <cellStyle name="Обычный 7 2 3 2 3 2 3 2 2 2" xfId="9726"/>
    <cellStyle name="Обычный 7 2 3 2 3 2 3 2 2 2 2" xfId="15706"/>
    <cellStyle name="Обычный 7 2 3 2 3 2 3 2 2 3" xfId="15707"/>
    <cellStyle name="Обычный 7 2 3 2 3 2 3 2 3" xfId="7670"/>
    <cellStyle name="Обычный 7 2 3 2 3 2 3 2 3 2" xfId="15708"/>
    <cellStyle name="Обычный 7 2 3 2 3 2 3 2 4" xfId="15709"/>
    <cellStyle name="Обычный 7 2 3 2 3 2 3 3" xfId="3580"/>
    <cellStyle name="Обычный 7 2 3 2 3 2 3 3 2" xfId="8698"/>
    <cellStyle name="Обычный 7 2 3 2 3 2 3 3 2 2" xfId="15710"/>
    <cellStyle name="Обычный 7 2 3 2 3 2 3 3 3" xfId="15711"/>
    <cellStyle name="Обычный 7 2 3 2 3 2 3 4" xfId="6642"/>
    <cellStyle name="Обычный 7 2 3 2 3 2 3 4 2" xfId="15712"/>
    <cellStyle name="Обычный 7 2 3 2 3 2 3 5" xfId="15713"/>
    <cellStyle name="Обычный 7 2 3 2 3 2 4" xfId="1122"/>
    <cellStyle name="Обычный 7 2 3 2 3 2 4 2" xfId="2241"/>
    <cellStyle name="Обычный 7 2 3 2 3 2 4 2 2" xfId="4779"/>
    <cellStyle name="Обычный 7 2 3 2 3 2 4 2 2 2" xfId="9897"/>
    <cellStyle name="Обычный 7 2 3 2 3 2 4 2 2 2 2" xfId="15714"/>
    <cellStyle name="Обычный 7 2 3 2 3 2 4 2 2 3" xfId="15715"/>
    <cellStyle name="Обычный 7 2 3 2 3 2 4 2 3" xfId="7841"/>
    <cellStyle name="Обычный 7 2 3 2 3 2 4 2 3 2" xfId="15716"/>
    <cellStyle name="Обычный 7 2 3 2 3 2 4 2 4" xfId="15717"/>
    <cellStyle name="Обычный 7 2 3 2 3 2 4 3" xfId="3751"/>
    <cellStyle name="Обычный 7 2 3 2 3 2 4 3 2" xfId="8869"/>
    <cellStyle name="Обычный 7 2 3 2 3 2 4 3 2 2" xfId="15718"/>
    <cellStyle name="Обычный 7 2 3 2 3 2 4 3 3" xfId="15719"/>
    <cellStyle name="Обычный 7 2 3 2 3 2 4 4" xfId="6813"/>
    <cellStyle name="Обычный 7 2 3 2 3 2 4 4 2" xfId="15720"/>
    <cellStyle name="Обычный 7 2 3 2 3 2 4 5" xfId="15721"/>
    <cellStyle name="Обычный 7 2 3 2 3 2 5" xfId="1303"/>
    <cellStyle name="Обычный 7 2 3 2 3 2 5 2" xfId="2412"/>
    <cellStyle name="Обычный 7 2 3 2 3 2 5 2 2" xfId="4950"/>
    <cellStyle name="Обычный 7 2 3 2 3 2 5 2 2 2" xfId="10068"/>
    <cellStyle name="Обычный 7 2 3 2 3 2 5 2 2 2 2" xfId="15722"/>
    <cellStyle name="Обычный 7 2 3 2 3 2 5 2 2 3" xfId="15723"/>
    <cellStyle name="Обычный 7 2 3 2 3 2 5 2 3" xfId="8012"/>
    <cellStyle name="Обычный 7 2 3 2 3 2 5 2 3 2" xfId="15724"/>
    <cellStyle name="Обычный 7 2 3 2 3 2 5 2 4" xfId="15725"/>
    <cellStyle name="Обычный 7 2 3 2 3 2 5 3" xfId="3922"/>
    <cellStyle name="Обычный 7 2 3 2 3 2 5 3 2" xfId="9040"/>
    <cellStyle name="Обычный 7 2 3 2 3 2 5 3 2 2" xfId="15726"/>
    <cellStyle name="Обычный 7 2 3 2 3 2 5 3 3" xfId="15727"/>
    <cellStyle name="Обычный 7 2 3 2 3 2 5 4" xfId="6984"/>
    <cellStyle name="Обычный 7 2 3 2 3 2 5 4 2" xfId="15728"/>
    <cellStyle name="Обычный 7 2 3 2 3 2 5 5" xfId="15729"/>
    <cellStyle name="Обычный 7 2 3 2 3 2 6" xfId="1477"/>
    <cellStyle name="Обычный 7 2 3 2 3 2 6 2" xfId="2583"/>
    <cellStyle name="Обычный 7 2 3 2 3 2 6 2 2" xfId="5121"/>
    <cellStyle name="Обычный 7 2 3 2 3 2 6 2 2 2" xfId="10239"/>
    <cellStyle name="Обычный 7 2 3 2 3 2 6 2 2 2 2" xfId="15730"/>
    <cellStyle name="Обычный 7 2 3 2 3 2 6 2 2 3" xfId="15731"/>
    <cellStyle name="Обычный 7 2 3 2 3 2 6 2 3" xfId="8183"/>
    <cellStyle name="Обычный 7 2 3 2 3 2 6 2 3 2" xfId="15732"/>
    <cellStyle name="Обычный 7 2 3 2 3 2 6 2 4" xfId="15733"/>
    <cellStyle name="Обычный 7 2 3 2 3 2 6 3" xfId="4093"/>
    <cellStyle name="Обычный 7 2 3 2 3 2 6 3 2" xfId="9211"/>
    <cellStyle name="Обычный 7 2 3 2 3 2 6 3 2 2" xfId="15734"/>
    <cellStyle name="Обычный 7 2 3 2 3 2 6 3 3" xfId="15735"/>
    <cellStyle name="Обычный 7 2 3 2 3 2 6 4" xfId="7155"/>
    <cellStyle name="Обычный 7 2 3 2 3 2 6 4 2" xfId="15736"/>
    <cellStyle name="Обычный 7 2 3 2 3 2 6 5" xfId="15737"/>
    <cellStyle name="Обычный 7 2 3 2 3 2 7" xfId="1648"/>
    <cellStyle name="Обычный 7 2 3 2 3 2 7 2" xfId="2754"/>
    <cellStyle name="Обычный 7 2 3 2 3 2 7 2 2" xfId="5292"/>
    <cellStyle name="Обычный 7 2 3 2 3 2 7 2 2 2" xfId="10410"/>
    <cellStyle name="Обычный 7 2 3 2 3 2 7 2 2 2 2" xfId="15738"/>
    <cellStyle name="Обычный 7 2 3 2 3 2 7 2 2 3" xfId="15739"/>
    <cellStyle name="Обычный 7 2 3 2 3 2 7 2 3" xfId="8354"/>
    <cellStyle name="Обычный 7 2 3 2 3 2 7 2 3 2" xfId="15740"/>
    <cellStyle name="Обычный 7 2 3 2 3 2 7 2 4" xfId="15741"/>
    <cellStyle name="Обычный 7 2 3 2 3 2 7 3" xfId="4264"/>
    <cellStyle name="Обычный 7 2 3 2 3 2 7 3 2" xfId="9382"/>
    <cellStyle name="Обычный 7 2 3 2 3 2 7 3 2 2" xfId="15742"/>
    <cellStyle name="Обычный 7 2 3 2 3 2 7 3 3" xfId="15743"/>
    <cellStyle name="Обычный 7 2 3 2 3 2 7 4" xfId="7326"/>
    <cellStyle name="Обычный 7 2 3 2 3 2 7 4 2" xfId="15744"/>
    <cellStyle name="Обычный 7 2 3 2 3 2 7 5" xfId="15745"/>
    <cellStyle name="Обычный 7 2 3 2 3 2 8" xfId="3066"/>
    <cellStyle name="Обычный 7 2 3 2 4" xfId="389"/>
    <cellStyle name="Обычный 7 2 3 2 4 2" xfId="765"/>
    <cellStyle name="Обычный 7 2 3 2 4 2 2" xfId="1893"/>
    <cellStyle name="Обычный 7 2 3 2 4 2 2 2" xfId="4436"/>
    <cellStyle name="Обычный 7 2 3 2 4 2 2 2 2" xfId="9554"/>
    <cellStyle name="Обычный 7 2 3 2 4 2 2 2 2 2" xfId="15746"/>
    <cellStyle name="Обычный 7 2 3 2 4 2 2 2 3" xfId="15747"/>
    <cellStyle name="Обычный 7 2 3 2 4 2 2 3" xfId="7498"/>
    <cellStyle name="Обычный 7 2 3 2 4 2 2 3 2" xfId="15748"/>
    <cellStyle name="Обычный 7 2 3 2 4 2 2 4" xfId="15749"/>
    <cellStyle name="Обычный 7 2 3 2 4 2 3" xfId="3408"/>
    <cellStyle name="Обычный 7 2 3 2 4 2 3 2" xfId="8526"/>
    <cellStyle name="Обычный 7 2 3 2 4 2 3 2 2" xfId="15750"/>
    <cellStyle name="Обычный 7 2 3 2 4 2 3 3" xfId="15751"/>
    <cellStyle name="Обычный 7 2 3 2 4 2 4" xfId="6470"/>
    <cellStyle name="Обычный 7 2 3 2 4 2 4 2" xfId="15752"/>
    <cellStyle name="Обычный 7 2 3 2 4 2 5" xfId="15753"/>
    <cellStyle name="Обычный 7 2 3 2 4 3" xfId="952"/>
    <cellStyle name="Обычный 7 2 3 2 4 3 2" xfId="2071"/>
    <cellStyle name="Обычный 7 2 3 2 4 3 2 2" xfId="4609"/>
    <cellStyle name="Обычный 7 2 3 2 4 3 2 2 2" xfId="9727"/>
    <cellStyle name="Обычный 7 2 3 2 4 3 2 2 2 2" xfId="15754"/>
    <cellStyle name="Обычный 7 2 3 2 4 3 2 2 3" xfId="15755"/>
    <cellStyle name="Обычный 7 2 3 2 4 3 2 3" xfId="7671"/>
    <cellStyle name="Обычный 7 2 3 2 4 3 2 3 2" xfId="15756"/>
    <cellStyle name="Обычный 7 2 3 2 4 3 2 4" xfId="15757"/>
    <cellStyle name="Обычный 7 2 3 2 4 3 3" xfId="3581"/>
    <cellStyle name="Обычный 7 2 3 2 4 3 3 2" xfId="8699"/>
    <cellStyle name="Обычный 7 2 3 2 4 3 3 2 2" xfId="15758"/>
    <cellStyle name="Обычный 7 2 3 2 4 3 3 3" xfId="15759"/>
    <cellStyle name="Обычный 7 2 3 2 4 3 4" xfId="6643"/>
    <cellStyle name="Обычный 7 2 3 2 4 3 4 2" xfId="15760"/>
    <cellStyle name="Обычный 7 2 3 2 4 3 5" xfId="15761"/>
    <cellStyle name="Обычный 7 2 3 2 4 4" xfId="1123"/>
    <cellStyle name="Обычный 7 2 3 2 4 4 2" xfId="2242"/>
    <cellStyle name="Обычный 7 2 3 2 4 4 2 2" xfId="4780"/>
    <cellStyle name="Обычный 7 2 3 2 4 4 2 2 2" xfId="9898"/>
    <cellStyle name="Обычный 7 2 3 2 4 4 2 2 2 2" xfId="15762"/>
    <cellStyle name="Обычный 7 2 3 2 4 4 2 2 3" xfId="15763"/>
    <cellStyle name="Обычный 7 2 3 2 4 4 2 3" xfId="7842"/>
    <cellStyle name="Обычный 7 2 3 2 4 4 2 3 2" xfId="15764"/>
    <cellStyle name="Обычный 7 2 3 2 4 4 2 4" xfId="15765"/>
    <cellStyle name="Обычный 7 2 3 2 4 4 3" xfId="3752"/>
    <cellStyle name="Обычный 7 2 3 2 4 4 3 2" xfId="8870"/>
    <cellStyle name="Обычный 7 2 3 2 4 4 3 2 2" xfId="15766"/>
    <cellStyle name="Обычный 7 2 3 2 4 4 3 3" xfId="15767"/>
    <cellStyle name="Обычный 7 2 3 2 4 4 4" xfId="6814"/>
    <cellStyle name="Обычный 7 2 3 2 4 4 4 2" xfId="15768"/>
    <cellStyle name="Обычный 7 2 3 2 4 4 5" xfId="15769"/>
    <cellStyle name="Обычный 7 2 3 2 4 5" xfId="1304"/>
    <cellStyle name="Обычный 7 2 3 2 4 5 2" xfId="2413"/>
    <cellStyle name="Обычный 7 2 3 2 4 5 2 2" xfId="4951"/>
    <cellStyle name="Обычный 7 2 3 2 4 5 2 2 2" xfId="10069"/>
    <cellStyle name="Обычный 7 2 3 2 4 5 2 2 2 2" xfId="15770"/>
    <cellStyle name="Обычный 7 2 3 2 4 5 2 2 3" xfId="15771"/>
    <cellStyle name="Обычный 7 2 3 2 4 5 2 3" xfId="8013"/>
    <cellStyle name="Обычный 7 2 3 2 4 5 2 3 2" xfId="15772"/>
    <cellStyle name="Обычный 7 2 3 2 4 5 2 4" xfId="15773"/>
    <cellStyle name="Обычный 7 2 3 2 4 5 3" xfId="3923"/>
    <cellStyle name="Обычный 7 2 3 2 4 5 3 2" xfId="9041"/>
    <cellStyle name="Обычный 7 2 3 2 4 5 3 2 2" xfId="15774"/>
    <cellStyle name="Обычный 7 2 3 2 4 5 3 3" xfId="15775"/>
    <cellStyle name="Обычный 7 2 3 2 4 5 4" xfId="6985"/>
    <cellStyle name="Обычный 7 2 3 2 4 5 4 2" xfId="15776"/>
    <cellStyle name="Обычный 7 2 3 2 4 5 5" xfId="15777"/>
    <cellStyle name="Обычный 7 2 3 2 4 6" xfId="1478"/>
    <cellStyle name="Обычный 7 2 3 2 4 6 2" xfId="2584"/>
    <cellStyle name="Обычный 7 2 3 2 4 6 2 2" xfId="5122"/>
    <cellStyle name="Обычный 7 2 3 2 4 6 2 2 2" xfId="10240"/>
    <cellStyle name="Обычный 7 2 3 2 4 6 2 2 2 2" xfId="15778"/>
    <cellStyle name="Обычный 7 2 3 2 4 6 2 2 3" xfId="15779"/>
    <cellStyle name="Обычный 7 2 3 2 4 6 2 3" xfId="8184"/>
    <cellStyle name="Обычный 7 2 3 2 4 6 2 3 2" xfId="15780"/>
    <cellStyle name="Обычный 7 2 3 2 4 6 2 4" xfId="15781"/>
    <cellStyle name="Обычный 7 2 3 2 4 6 3" xfId="4094"/>
    <cellStyle name="Обычный 7 2 3 2 4 6 3 2" xfId="9212"/>
    <cellStyle name="Обычный 7 2 3 2 4 6 3 2 2" xfId="15782"/>
    <cellStyle name="Обычный 7 2 3 2 4 6 3 3" xfId="15783"/>
    <cellStyle name="Обычный 7 2 3 2 4 6 4" xfId="7156"/>
    <cellStyle name="Обычный 7 2 3 2 4 6 4 2" xfId="15784"/>
    <cellStyle name="Обычный 7 2 3 2 4 6 5" xfId="15785"/>
    <cellStyle name="Обычный 7 2 3 2 4 7" xfId="1649"/>
    <cellStyle name="Обычный 7 2 3 2 4 7 2" xfId="2755"/>
    <cellStyle name="Обычный 7 2 3 2 4 7 2 2" xfId="5293"/>
    <cellStyle name="Обычный 7 2 3 2 4 7 2 2 2" xfId="10411"/>
    <cellStyle name="Обычный 7 2 3 2 4 7 2 2 2 2" xfId="15786"/>
    <cellStyle name="Обычный 7 2 3 2 4 7 2 2 3" xfId="15787"/>
    <cellStyle name="Обычный 7 2 3 2 4 7 2 3" xfId="8355"/>
    <cellStyle name="Обычный 7 2 3 2 4 7 2 3 2" xfId="15788"/>
    <cellStyle name="Обычный 7 2 3 2 4 7 2 4" xfId="15789"/>
    <cellStyle name="Обычный 7 2 3 2 4 7 3" xfId="4265"/>
    <cellStyle name="Обычный 7 2 3 2 4 7 3 2" xfId="9383"/>
    <cellStyle name="Обычный 7 2 3 2 4 7 3 2 2" xfId="15790"/>
    <cellStyle name="Обычный 7 2 3 2 4 7 3 3" xfId="15791"/>
    <cellStyle name="Обычный 7 2 3 2 4 7 4" xfId="7327"/>
    <cellStyle name="Обычный 7 2 3 2 4 7 4 2" xfId="15792"/>
    <cellStyle name="Обычный 7 2 3 2 4 7 5" xfId="15793"/>
    <cellStyle name="Обычный 7 2 3 2 4 8" xfId="3067"/>
    <cellStyle name="Обычный 7 2 3 3" xfId="390"/>
    <cellStyle name="Обычный 7 2 3 3 2" xfId="391"/>
    <cellStyle name="Обычный 7 2 3 3 2 2" xfId="766"/>
    <cellStyle name="Обычный 7 2 3 3 2 2 2" xfId="1894"/>
    <cellStyle name="Обычный 7 2 3 3 2 2 2 2" xfId="4437"/>
    <cellStyle name="Обычный 7 2 3 3 2 2 2 2 2" xfId="9555"/>
    <cellStyle name="Обычный 7 2 3 3 2 2 2 2 2 2" xfId="15794"/>
    <cellStyle name="Обычный 7 2 3 3 2 2 2 2 3" xfId="15795"/>
    <cellStyle name="Обычный 7 2 3 3 2 2 2 3" xfId="7499"/>
    <cellStyle name="Обычный 7 2 3 3 2 2 2 3 2" xfId="15796"/>
    <cellStyle name="Обычный 7 2 3 3 2 2 2 4" xfId="15797"/>
    <cellStyle name="Обычный 7 2 3 3 2 2 3" xfId="3409"/>
    <cellStyle name="Обычный 7 2 3 3 2 2 3 2" xfId="8527"/>
    <cellStyle name="Обычный 7 2 3 3 2 2 3 2 2" xfId="15798"/>
    <cellStyle name="Обычный 7 2 3 3 2 2 3 3" xfId="15799"/>
    <cellStyle name="Обычный 7 2 3 3 2 2 4" xfId="6471"/>
    <cellStyle name="Обычный 7 2 3 3 2 2 4 2" xfId="15800"/>
    <cellStyle name="Обычный 7 2 3 3 2 2 5" xfId="15801"/>
    <cellStyle name="Обычный 7 2 3 3 2 3" xfId="953"/>
    <cellStyle name="Обычный 7 2 3 3 2 3 2" xfId="2072"/>
    <cellStyle name="Обычный 7 2 3 3 2 3 2 2" xfId="4610"/>
    <cellStyle name="Обычный 7 2 3 3 2 3 2 2 2" xfId="9728"/>
    <cellStyle name="Обычный 7 2 3 3 2 3 2 2 2 2" xfId="15802"/>
    <cellStyle name="Обычный 7 2 3 3 2 3 2 2 3" xfId="15803"/>
    <cellStyle name="Обычный 7 2 3 3 2 3 2 3" xfId="7672"/>
    <cellStyle name="Обычный 7 2 3 3 2 3 2 3 2" xfId="15804"/>
    <cellStyle name="Обычный 7 2 3 3 2 3 2 4" xfId="15805"/>
    <cellStyle name="Обычный 7 2 3 3 2 3 3" xfId="3582"/>
    <cellStyle name="Обычный 7 2 3 3 2 3 3 2" xfId="8700"/>
    <cellStyle name="Обычный 7 2 3 3 2 3 3 2 2" xfId="15806"/>
    <cellStyle name="Обычный 7 2 3 3 2 3 3 3" xfId="15807"/>
    <cellStyle name="Обычный 7 2 3 3 2 3 4" xfId="6644"/>
    <cellStyle name="Обычный 7 2 3 3 2 3 4 2" xfId="15808"/>
    <cellStyle name="Обычный 7 2 3 3 2 3 5" xfId="15809"/>
    <cellStyle name="Обычный 7 2 3 3 2 4" xfId="1124"/>
    <cellStyle name="Обычный 7 2 3 3 2 4 2" xfId="2243"/>
    <cellStyle name="Обычный 7 2 3 3 2 4 2 2" xfId="4781"/>
    <cellStyle name="Обычный 7 2 3 3 2 4 2 2 2" xfId="9899"/>
    <cellStyle name="Обычный 7 2 3 3 2 4 2 2 2 2" xfId="15810"/>
    <cellStyle name="Обычный 7 2 3 3 2 4 2 2 3" xfId="15811"/>
    <cellStyle name="Обычный 7 2 3 3 2 4 2 3" xfId="7843"/>
    <cellStyle name="Обычный 7 2 3 3 2 4 2 3 2" xfId="15812"/>
    <cellStyle name="Обычный 7 2 3 3 2 4 2 4" xfId="15813"/>
    <cellStyle name="Обычный 7 2 3 3 2 4 3" xfId="3753"/>
    <cellStyle name="Обычный 7 2 3 3 2 4 3 2" xfId="8871"/>
    <cellStyle name="Обычный 7 2 3 3 2 4 3 2 2" xfId="15814"/>
    <cellStyle name="Обычный 7 2 3 3 2 4 3 3" xfId="15815"/>
    <cellStyle name="Обычный 7 2 3 3 2 4 4" xfId="6815"/>
    <cellStyle name="Обычный 7 2 3 3 2 4 4 2" xfId="15816"/>
    <cellStyle name="Обычный 7 2 3 3 2 4 5" xfId="15817"/>
    <cellStyle name="Обычный 7 2 3 3 2 5" xfId="1305"/>
    <cellStyle name="Обычный 7 2 3 3 2 5 2" xfId="2414"/>
    <cellStyle name="Обычный 7 2 3 3 2 5 2 2" xfId="4952"/>
    <cellStyle name="Обычный 7 2 3 3 2 5 2 2 2" xfId="10070"/>
    <cellStyle name="Обычный 7 2 3 3 2 5 2 2 2 2" xfId="15818"/>
    <cellStyle name="Обычный 7 2 3 3 2 5 2 2 3" xfId="15819"/>
    <cellStyle name="Обычный 7 2 3 3 2 5 2 3" xfId="8014"/>
    <cellStyle name="Обычный 7 2 3 3 2 5 2 3 2" xfId="15820"/>
    <cellStyle name="Обычный 7 2 3 3 2 5 2 4" xfId="15821"/>
    <cellStyle name="Обычный 7 2 3 3 2 5 3" xfId="3924"/>
    <cellStyle name="Обычный 7 2 3 3 2 5 3 2" xfId="9042"/>
    <cellStyle name="Обычный 7 2 3 3 2 5 3 2 2" xfId="15822"/>
    <cellStyle name="Обычный 7 2 3 3 2 5 3 3" xfId="15823"/>
    <cellStyle name="Обычный 7 2 3 3 2 5 4" xfId="6986"/>
    <cellStyle name="Обычный 7 2 3 3 2 5 4 2" xfId="15824"/>
    <cellStyle name="Обычный 7 2 3 3 2 5 5" xfId="15825"/>
    <cellStyle name="Обычный 7 2 3 3 2 6" xfId="1479"/>
    <cellStyle name="Обычный 7 2 3 3 2 6 2" xfId="2585"/>
    <cellStyle name="Обычный 7 2 3 3 2 6 2 2" xfId="5123"/>
    <cellStyle name="Обычный 7 2 3 3 2 6 2 2 2" xfId="10241"/>
    <cellStyle name="Обычный 7 2 3 3 2 6 2 2 2 2" xfId="15826"/>
    <cellStyle name="Обычный 7 2 3 3 2 6 2 2 3" xfId="15827"/>
    <cellStyle name="Обычный 7 2 3 3 2 6 2 3" xfId="8185"/>
    <cellStyle name="Обычный 7 2 3 3 2 6 2 3 2" xfId="15828"/>
    <cellStyle name="Обычный 7 2 3 3 2 6 2 4" xfId="15829"/>
    <cellStyle name="Обычный 7 2 3 3 2 6 3" xfId="4095"/>
    <cellStyle name="Обычный 7 2 3 3 2 6 3 2" xfId="9213"/>
    <cellStyle name="Обычный 7 2 3 3 2 6 3 2 2" xfId="15830"/>
    <cellStyle name="Обычный 7 2 3 3 2 6 3 3" xfId="15831"/>
    <cellStyle name="Обычный 7 2 3 3 2 6 4" xfId="7157"/>
    <cellStyle name="Обычный 7 2 3 3 2 6 4 2" xfId="15832"/>
    <cellStyle name="Обычный 7 2 3 3 2 6 5" xfId="15833"/>
    <cellStyle name="Обычный 7 2 3 3 2 7" xfId="1650"/>
    <cellStyle name="Обычный 7 2 3 3 2 7 2" xfId="2756"/>
    <cellStyle name="Обычный 7 2 3 3 2 7 2 2" xfId="5294"/>
    <cellStyle name="Обычный 7 2 3 3 2 7 2 2 2" xfId="10412"/>
    <cellStyle name="Обычный 7 2 3 3 2 7 2 2 2 2" xfId="15834"/>
    <cellStyle name="Обычный 7 2 3 3 2 7 2 2 3" xfId="15835"/>
    <cellStyle name="Обычный 7 2 3 3 2 7 2 3" xfId="8356"/>
    <cellStyle name="Обычный 7 2 3 3 2 7 2 3 2" xfId="15836"/>
    <cellStyle name="Обычный 7 2 3 3 2 7 2 4" xfId="15837"/>
    <cellStyle name="Обычный 7 2 3 3 2 7 3" xfId="4266"/>
    <cellStyle name="Обычный 7 2 3 3 2 7 3 2" xfId="9384"/>
    <cellStyle name="Обычный 7 2 3 3 2 7 3 2 2" xfId="15838"/>
    <cellStyle name="Обычный 7 2 3 3 2 7 3 3" xfId="15839"/>
    <cellStyle name="Обычный 7 2 3 3 2 7 4" xfId="7328"/>
    <cellStyle name="Обычный 7 2 3 3 2 7 4 2" xfId="15840"/>
    <cellStyle name="Обычный 7 2 3 3 2 7 5" xfId="15841"/>
    <cellStyle name="Обычный 7 2 3 3 2 8" xfId="3068"/>
    <cellStyle name="Обычный 7 2 3 4" xfId="392"/>
    <cellStyle name="Обычный 7 2 3 4 2" xfId="393"/>
    <cellStyle name="Обычный 7 2 3 4 2 2" xfId="767"/>
    <cellStyle name="Обычный 7 2 3 4 2 2 2" xfId="1895"/>
    <cellStyle name="Обычный 7 2 3 4 2 2 2 2" xfId="4438"/>
    <cellStyle name="Обычный 7 2 3 4 2 2 2 2 2" xfId="9556"/>
    <cellStyle name="Обычный 7 2 3 4 2 2 2 2 2 2" xfId="15842"/>
    <cellStyle name="Обычный 7 2 3 4 2 2 2 2 3" xfId="15843"/>
    <cellStyle name="Обычный 7 2 3 4 2 2 2 3" xfId="7500"/>
    <cellStyle name="Обычный 7 2 3 4 2 2 2 3 2" xfId="15844"/>
    <cellStyle name="Обычный 7 2 3 4 2 2 2 4" xfId="15845"/>
    <cellStyle name="Обычный 7 2 3 4 2 2 3" xfId="3410"/>
    <cellStyle name="Обычный 7 2 3 4 2 2 3 2" xfId="8528"/>
    <cellStyle name="Обычный 7 2 3 4 2 2 3 2 2" xfId="15846"/>
    <cellStyle name="Обычный 7 2 3 4 2 2 3 3" xfId="15847"/>
    <cellStyle name="Обычный 7 2 3 4 2 2 4" xfId="6472"/>
    <cellStyle name="Обычный 7 2 3 4 2 2 4 2" xfId="15848"/>
    <cellStyle name="Обычный 7 2 3 4 2 2 5" xfId="15849"/>
    <cellStyle name="Обычный 7 2 3 4 2 3" xfId="954"/>
    <cellStyle name="Обычный 7 2 3 4 2 3 2" xfId="2073"/>
    <cellStyle name="Обычный 7 2 3 4 2 3 2 2" xfId="4611"/>
    <cellStyle name="Обычный 7 2 3 4 2 3 2 2 2" xfId="9729"/>
    <cellStyle name="Обычный 7 2 3 4 2 3 2 2 2 2" xfId="15850"/>
    <cellStyle name="Обычный 7 2 3 4 2 3 2 2 3" xfId="15851"/>
    <cellStyle name="Обычный 7 2 3 4 2 3 2 3" xfId="7673"/>
    <cellStyle name="Обычный 7 2 3 4 2 3 2 3 2" xfId="15852"/>
    <cellStyle name="Обычный 7 2 3 4 2 3 2 4" xfId="15853"/>
    <cellStyle name="Обычный 7 2 3 4 2 3 3" xfId="3583"/>
    <cellStyle name="Обычный 7 2 3 4 2 3 3 2" xfId="8701"/>
    <cellStyle name="Обычный 7 2 3 4 2 3 3 2 2" xfId="15854"/>
    <cellStyle name="Обычный 7 2 3 4 2 3 3 3" xfId="15855"/>
    <cellStyle name="Обычный 7 2 3 4 2 3 4" xfId="6645"/>
    <cellStyle name="Обычный 7 2 3 4 2 3 4 2" xfId="15856"/>
    <cellStyle name="Обычный 7 2 3 4 2 3 5" xfId="15857"/>
    <cellStyle name="Обычный 7 2 3 4 2 4" xfId="1125"/>
    <cellStyle name="Обычный 7 2 3 4 2 4 2" xfId="2244"/>
    <cellStyle name="Обычный 7 2 3 4 2 4 2 2" xfId="4782"/>
    <cellStyle name="Обычный 7 2 3 4 2 4 2 2 2" xfId="9900"/>
    <cellStyle name="Обычный 7 2 3 4 2 4 2 2 2 2" xfId="15858"/>
    <cellStyle name="Обычный 7 2 3 4 2 4 2 2 3" xfId="15859"/>
    <cellStyle name="Обычный 7 2 3 4 2 4 2 3" xfId="7844"/>
    <cellStyle name="Обычный 7 2 3 4 2 4 2 3 2" xfId="15860"/>
    <cellStyle name="Обычный 7 2 3 4 2 4 2 4" xfId="15861"/>
    <cellStyle name="Обычный 7 2 3 4 2 4 3" xfId="3754"/>
    <cellStyle name="Обычный 7 2 3 4 2 4 3 2" xfId="8872"/>
    <cellStyle name="Обычный 7 2 3 4 2 4 3 2 2" xfId="15862"/>
    <cellStyle name="Обычный 7 2 3 4 2 4 3 3" xfId="15863"/>
    <cellStyle name="Обычный 7 2 3 4 2 4 4" xfId="6816"/>
    <cellStyle name="Обычный 7 2 3 4 2 4 4 2" xfId="15864"/>
    <cellStyle name="Обычный 7 2 3 4 2 4 5" xfId="15865"/>
    <cellStyle name="Обычный 7 2 3 4 2 5" xfId="1306"/>
    <cellStyle name="Обычный 7 2 3 4 2 5 2" xfId="2415"/>
    <cellStyle name="Обычный 7 2 3 4 2 5 2 2" xfId="4953"/>
    <cellStyle name="Обычный 7 2 3 4 2 5 2 2 2" xfId="10071"/>
    <cellStyle name="Обычный 7 2 3 4 2 5 2 2 2 2" xfId="15866"/>
    <cellStyle name="Обычный 7 2 3 4 2 5 2 2 3" xfId="15867"/>
    <cellStyle name="Обычный 7 2 3 4 2 5 2 3" xfId="8015"/>
    <cellStyle name="Обычный 7 2 3 4 2 5 2 3 2" xfId="15868"/>
    <cellStyle name="Обычный 7 2 3 4 2 5 2 4" xfId="15869"/>
    <cellStyle name="Обычный 7 2 3 4 2 5 3" xfId="3925"/>
    <cellStyle name="Обычный 7 2 3 4 2 5 3 2" xfId="9043"/>
    <cellStyle name="Обычный 7 2 3 4 2 5 3 2 2" xfId="15870"/>
    <cellStyle name="Обычный 7 2 3 4 2 5 3 3" xfId="15871"/>
    <cellStyle name="Обычный 7 2 3 4 2 5 4" xfId="6987"/>
    <cellStyle name="Обычный 7 2 3 4 2 5 4 2" xfId="15872"/>
    <cellStyle name="Обычный 7 2 3 4 2 5 5" xfId="15873"/>
    <cellStyle name="Обычный 7 2 3 4 2 6" xfId="1480"/>
    <cellStyle name="Обычный 7 2 3 4 2 6 2" xfId="2586"/>
    <cellStyle name="Обычный 7 2 3 4 2 6 2 2" xfId="5124"/>
    <cellStyle name="Обычный 7 2 3 4 2 6 2 2 2" xfId="10242"/>
    <cellStyle name="Обычный 7 2 3 4 2 6 2 2 2 2" xfId="15874"/>
    <cellStyle name="Обычный 7 2 3 4 2 6 2 2 3" xfId="15875"/>
    <cellStyle name="Обычный 7 2 3 4 2 6 2 3" xfId="8186"/>
    <cellStyle name="Обычный 7 2 3 4 2 6 2 3 2" xfId="15876"/>
    <cellStyle name="Обычный 7 2 3 4 2 6 2 4" xfId="15877"/>
    <cellStyle name="Обычный 7 2 3 4 2 6 3" xfId="4096"/>
    <cellStyle name="Обычный 7 2 3 4 2 6 3 2" xfId="9214"/>
    <cellStyle name="Обычный 7 2 3 4 2 6 3 2 2" xfId="15878"/>
    <cellStyle name="Обычный 7 2 3 4 2 6 3 3" xfId="15879"/>
    <cellStyle name="Обычный 7 2 3 4 2 6 4" xfId="7158"/>
    <cellStyle name="Обычный 7 2 3 4 2 6 4 2" xfId="15880"/>
    <cellStyle name="Обычный 7 2 3 4 2 6 5" xfId="15881"/>
    <cellStyle name="Обычный 7 2 3 4 2 7" xfId="1651"/>
    <cellStyle name="Обычный 7 2 3 4 2 7 2" xfId="2757"/>
    <cellStyle name="Обычный 7 2 3 4 2 7 2 2" xfId="5295"/>
    <cellStyle name="Обычный 7 2 3 4 2 7 2 2 2" xfId="10413"/>
    <cellStyle name="Обычный 7 2 3 4 2 7 2 2 2 2" xfId="15882"/>
    <cellStyle name="Обычный 7 2 3 4 2 7 2 2 3" xfId="15883"/>
    <cellStyle name="Обычный 7 2 3 4 2 7 2 3" xfId="8357"/>
    <cellStyle name="Обычный 7 2 3 4 2 7 2 3 2" xfId="15884"/>
    <cellStyle name="Обычный 7 2 3 4 2 7 2 4" xfId="15885"/>
    <cellStyle name="Обычный 7 2 3 4 2 7 3" xfId="4267"/>
    <cellStyle name="Обычный 7 2 3 4 2 7 3 2" xfId="9385"/>
    <cellStyle name="Обычный 7 2 3 4 2 7 3 2 2" xfId="15886"/>
    <cellStyle name="Обычный 7 2 3 4 2 7 3 3" xfId="15887"/>
    <cellStyle name="Обычный 7 2 3 4 2 7 4" xfId="7329"/>
    <cellStyle name="Обычный 7 2 3 4 2 7 4 2" xfId="15888"/>
    <cellStyle name="Обычный 7 2 3 4 2 7 5" xfId="15889"/>
    <cellStyle name="Обычный 7 2 3 4 2 8" xfId="3069"/>
    <cellStyle name="Обычный 7 2 3 5" xfId="394"/>
    <cellStyle name="Обычный 7 2 3 5 2" xfId="768"/>
    <cellStyle name="Обычный 7 2 3 5 2 2" xfId="1896"/>
    <cellStyle name="Обычный 7 2 3 5 2 2 2" xfId="4439"/>
    <cellStyle name="Обычный 7 2 3 5 2 2 2 2" xfId="9557"/>
    <cellStyle name="Обычный 7 2 3 5 2 2 2 2 2" xfId="15890"/>
    <cellStyle name="Обычный 7 2 3 5 2 2 2 3" xfId="15891"/>
    <cellStyle name="Обычный 7 2 3 5 2 2 3" xfId="7501"/>
    <cellStyle name="Обычный 7 2 3 5 2 2 3 2" xfId="15892"/>
    <cellStyle name="Обычный 7 2 3 5 2 2 4" xfId="15893"/>
    <cellStyle name="Обычный 7 2 3 5 2 3" xfId="3411"/>
    <cellStyle name="Обычный 7 2 3 5 2 3 2" xfId="8529"/>
    <cellStyle name="Обычный 7 2 3 5 2 3 2 2" xfId="15894"/>
    <cellStyle name="Обычный 7 2 3 5 2 3 3" xfId="15895"/>
    <cellStyle name="Обычный 7 2 3 5 2 4" xfId="6473"/>
    <cellStyle name="Обычный 7 2 3 5 2 4 2" xfId="15896"/>
    <cellStyle name="Обычный 7 2 3 5 2 5" xfId="15897"/>
    <cellStyle name="Обычный 7 2 3 5 3" xfId="955"/>
    <cellStyle name="Обычный 7 2 3 5 3 2" xfId="2074"/>
    <cellStyle name="Обычный 7 2 3 5 3 2 2" xfId="4612"/>
    <cellStyle name="Обычный 7 2 3 5 3 2 2 2" xfId="9730"/>
    <cellStyle name="Обычный 7 2 3 5 3 2 2 2 2" xfId="15898"/>
    <cellStyle name="Обычный 7 2 3 5 3 2 2 3" xfId="15899"/>
    <cellStyle name="Обычный 7 2 3 5 3 2 3" xfId="7674"/>
    <cellStyle name="Обычный 7 2 3 5 3 2 3 2" xfId="15900"/>
    <cellStyle name="Обычный 7 2 3 5 3 2 4" xfId="15901"/>
    <cellStyle name="Обычный 7 2 3 5 3 3" xfId="3584"/>
    <cellStyle name="Обычный 7 2 3 5 3 3 2" xfId="8702"/>
    <cellStyle name="Обычный 7 2 3 5 3 3 2 2" xfId="15902"/>
    <cellStyle name="Обычный 7 2 3 5 3 3 3" xfId="15903"/>
    <cellStyle name="Обычный 7 2 3 5 3 4" xfId="6646"/>
    <cellStyle name="Обычный 7 2 3 5 3 4 2" xfId="15904"/>
    <cellStyle name="Обычный 7 2 3 5 3 5" xfId="15905"/>
    <cellStyle name="Обычный 7 2 3 5 4" xfId="1126"/>
    <cellStyle name="Обычный 7 2 3 5 4 2" xfId="2245"/>
    <cellStyle name="Обычный 7 2 3 5 4 2 2" xfId="4783"/>
    <cellStyle name="Обычный 7 2 3 5 4 2 2 2" xfId="9901"/>
    <cellStyle name="Обычный 7 2 3 5 4 2 2 2 2" xfId="15906"/>
    <cellStyle name="Обычный 7 2 3 5 4 2 2 3" xfId="15907"/>
    <cellStyle name="Обычный 7 2 3 5 4 2 3" xfId="7845"/>
    <cellStyle name="Обычный 7 2 3 5 4 2 3 2" xfId="15908"/>
    <cellStyle name="Обычный 7 2 3 5 4 2 4" xfId="15909"/>
    <cellStyle name="Обычный 7 2 3 5 4 3" xfId="3755"/>
    <cellStyle name="Обычный 7 2 3 5 4 3 2" xfId="8873"/>
    <cellStyle name="Обычный 7 2 3 5 4 3 2 2" xfId="15910"/>
    <cellStyle name="Обычный 7 2 3 5 4 3 3" xfId="15911"/>
    <cellStyle name="Обычный 7 2 3 5 4 4" xfId="6817"/>
    <cellStyle name="Обычный 7 2 3 5 4 4 2" xfId="15912"/>
    <cellStyle name="Обычный 7 2 3 5 4 5" xfId="15913"/>
    <cellStyle name="Обычный 7 2 3 5 5" xfId="1307"/>
    <cellStyle name="Обычный 7 2 3 5 5 2" xfId="2416"/>
    <cellStyle name="Обычный 7 2 3 5 5 2 2" xfId="4954"/>
    <cellStyle name="Обычный 7 2 3 5 5 2 2 2" xfId="10072"/>
    <cellStyle name="Обычный 7 2 3 5 5 2 2 2 2" xfId="15914"/>
    <cellStyle name="Обычный 7 2 3 5 5 2 2 3" xfId="15915"/>
    <cellStyle name="Обычный 7 2 3 5 5 2 3" xfId="8016"/>
    <cellStyle name="Обычный 7 2 3 5 5 2 3 2" xfId="15916"/>
    <cellStyle name="Обычный 7 2 3 5 5 2 4" xfId="15917"/>
    <cellStyle name="Обычный 7 2 3 5 5 3" xfId="3926"/>
    <cellStyle name="Обычный 7 2 3 5 5 3 2" xfId="9044"/>
    <cellStyle name="Обычный 7 2 3 5 5 3 2 2" xfId="15918"/>
    <cellStyle name="Обычный 7 2 3 5 5 3 3" xfId="15919"/>
    <cellStyle name="Обычный 7 2 3 5 5 4" xfId="6988"/>
    <cellStyle name="Обычный 7 2 3 5 5 4 2" xfId="15920"/>
    <cellStyle name="Обычный 7 2 3 5 5 5" xfId="15921"/>
    <cellStyle name="Обычный 7 2 3 5 6" xfId="1481"/>
    <cellStyle name="Обычный 7 2 3 5 6 2" xfId="2587"/>
    <cellStyle name="Обычный 7 2 3 5 6 2 2" xfId="5125"/>
    <cellStyle name="Обычный 7 2 3 5 6 2 2 2" xfId="10243"/>
    <cellStyle name="Обычный 7 2 3 5 6 2 2 2 2" xfId="15922"/>
    <cellStyle name="Обычный 7 2 3 5 6 2 2 3" xfId="15923"/>
    <cellStyle name="Обычный 7 2 3 5 6 2 3" xfId="8187"/>
    <cellStyle name="Обычный 7 2 3 5 6 2 3 2" xfId="15924"/>
    <cellStyle name="Обычный 7 2 3 5 6 2 4" xfId="15925"/>
    <cellStyle name="Обычный 7 2 3 5 6 3" xfId="4097"/>
    <cellStyle name="Обычный 7 2 3 5 6 3 2" xfId="9215"/>
    <cellStyle name="Обычный 7 2 3 5 6 3 2 2" xfId="15926"/>
    <cellStyle name="Обычный 7 2 3 5 6 3 3" xfId="15927"/>
    <cellStyle name="Обычный 7 2 3 5 6 4" xfId="7159"/>
    <cellStyle name="Обычный 7 2 3 5 6 4 2" xfId="15928"/>
    <cellStyle name="Обычный 7 2 3 5 6 5" xfId="15929"/>
    <cellStyle name="Обычный 7 2 3 5 7" xfId="1652"/>
    <cellStyle name="Обычный 7 2 3 5 7 2" xfId="2758"/>
    <cellStyle name="Обычный 7 2 3 5 7 2 2" xfId="5296"/>
    <cellStyle name="Обычный 7 2 3 5 7 2 2 2" xfId="10414"/>
    <cellStyle name="Обычный 7 2 3 5 7 2 2 2 2" xfId="15930"/>
    <cellStyle name="Обычный 7 2 3 5 7 2 2 3" xfId="15931"/>
    <cellStyle name="Обычный 7 2 3 5 7 2 3" xfId="8358"/>
    <cellStyle name="Обычный 7 2 3 5 7 2 3 2" xfId="15932"/>
    <cellStyle name="Обычный 7 2 3 5 7 2 4" xfId="15933"/>
    <cellStyle name="Обычный 7 2 3 5 7 3" xfId="4268"/>
    <cellStyle name="Обычный 7 2 3 5 7 3 2" xfId="9386"/>
    <cellStyle name="Обычный 7 2 3 5 7 3 2 2" xfId="15934"/>
    <cellStyle name="Обычный 7 2 3 5 7 3 3" xfId="15935"/>
    <cellStyle name="Обычный 7 2 3 5 7 4" xfId="7330"/>
    <cellStyle name="Обычный 7 2 3 5 7 4 2" xfId="15936"/>
    <cellStyle name="Обычный 7 2 3 5 7 5" xfId="15937"/>
    <cellStyle name="Обычный 7 2 3 5 8" xfId="3070"/>
    <cellStyle name="Обычный 7 2 4" xfId="395"/>
    <cellStyle name="Обычный 7 2 4 2" xfId="396"/>
    <cellStyle name="Обычный 7 2 4 2 2" xfId="397"/>
    <cellStyle name="Обычный 7 2 4 2 2 2" xfId="769"/>
    <cellStyle name="Обычный 7 2 4 2 2 2 2" xfId="1897"/>
    <cellStyle name="Обычный 7 2 4 2 2 2 2 2" xfId="4440"/>
    <cellStyle name="Обычный 7 2 4 2 2 2 2 2 2" xfId="9558"/>
    <cellStyle name="Обычный 7 2 4 2 2 2 2 2 2 2" xfId="15938"/>
    <cellStyle name="Обычный 7 2 4 2 2 2 2 2 3" xfId="15939"/>
    <cellStyle name="Обычный 7 2 4 2 2 2 2 3" xfId="7502"/>
    <cellStyle name="Обычный 7 2 4 2 2 2 2 3 2" xfId="15940"/>
    <cellStyle name="Обычный 7 2 4 2 2 2 2 4" xfId="15941"/>
    <cellStyle name="Обычный 7 2 4 2 2 2 3" xfId="3412"/>
    <cellStyle name="Обычный 7 2 4 2 2 2 3 2" xfId="8530"/>
    <cellStyle name="Обычный 7 2 4 2 2 2 3 2 2" xfId="15942"/>
    <cellStyle name="Обычный 7 2 4 2 2 2 3 3" xfId="15943"/>
    <cellStyle name="Обычный 7 2 4 2 2 2 4" xfId="6474"/>
    <cellStyle name="Обычный 7 2 4 2 2 2 4 2" xfId="15944"/>
    <cellStyle name="Обычный 7 2 4 2 2 2 5" xfId="15945"/>
    <cellStyle name="Обычный 7 2 4 2 2 3" xfId="956"/>
    <cellStyle name="Обычный 7 2 4 2 2 3 2" xfId="2075"/>
    <cellStyle name="Обычный 7 2 4 2 2 3 2 2" xfId="4613"/>
    <cellStyle name="Обычный 7 2 4 2 2 3 2 2 2" xfId="9731"/>
    <cellStyle name="Обычный 7 2 4 2 2 3 2 2 2 2" xfId="15946"/>
    <cellStyle name="Обычный 7 2 4 2 2 3 2 2 3" xfId="15947"/>
    <cellStyle name="Обычный 7 2 4 2 2 3 2 3" xfId="7675"/>
    <cellStyle name="Обычный 7 2 4 2 2 3 2 3 2" xfId="15948"/>
    <cellStyle name="Обычный 7 2 4 2 2 3 2 4" xfId="15949"/>
    <cellStyle name="Обычный 7 2 4 2 2 3 3" xfId="3585"/>
    <cellStyle name="Обычный 7 2 4 2 2 3 3 2" xfId="8703"/>
    <cellStyle name="Обычный 7 2 4 2 2 3 3 2 2" xfId="15950"/>
    <cellStyle name="Обычный 7 2 4 2 2 3 3 3" xfId="15951"/>
    <cellStyle name="Обычный 7 2 4 2 2 3 4" xfId="6647"/>
    <cellStyle name="Обычный 7 2 4 2 2 3 4 2" xfId="15952"/>
    <cellStyle name="Обычный 7 2 4 2 2 3 5" xfId="15953"/>
    <cellStyle name="Обычный 7 2 4 2 2 4" xfId="1127"/>
    <cellStyle name="Обычный 7 2 4 2 2 4 2" xfId="2246"/>
    <cellStyle name="Обычный 7 2 4 2 2 4 2 2" xfId="4784"/>
    <cellStyle name="Обычный 7 2 4 2 2 4 2 2 2" xfId="9902"/>
    <cellStyle name="Обычный 7 2 4 2 2 4 2 2 2 2" xfId="15954"/>
    <cellStyle name="Обычный 7 2 4 2 2 4 2 2 3" xfId="15955"/>
    <cellStyle name="Обычный 7 2 4 2 2 4 2 3" xfId="7846"/>
    <cellStyle name="Обычный 7 2 4 2 2 4 2 3 2" xfId="15956"/>
    <cellStyle name="Обычный 7 2 4 2 2 4 2 4" xfId="15957"/>
    <cellStyle name="Обычный 7 2 4 2 2 4 3" xfId="3756"/>
    <cellStyle name="Обычный 7 2 4 2 2 4 3 2" xfId="8874"/>
    <cellStyle name="Обычный 7 2 4 2 2 4 3 2 2" xfId="15958"/>
    <cellStyle name="Обычный 7 2 4 2 2 4 3 3" xfId="15959"/>
    <cellStyle name="Обычный 7 2 4 2 2 4 4" xfId="6818"/>
    <cellStyle name="Обычный 7 2 4 2 2 4 4 2" xfId="15960"/>
    <cellStyle name="Обычный 7 2 4 2 2 4 5" xfId="15961"/>
    <cellStyle name="Обычный 7 2 4 2 2 5" xfId="1308"/>
    <cellStyle name="Обычный 7 2 4 2 2 5 2" xfId="2417"/>
    <cellStyle name="Обычный 7 2 4 2 2 5 2 2" xfId="4955"/>
    <cellStyle name="Обычный 7 2 4 2 2 5 2 2 2" xfId="10073"/>
    <cellStyle name="Обычный 7 2 4 2 2 5 2 2 2 2" xfId="15962"/>
    <cellStyle name="Обычный 7 2 4 2 2 5 2 2 3" xfId="15963"/>
    <cellStyle name="Обычный 7 2 4 2 2 5 2 3" xfId="8017"/>
    <cellStyle name="Обычный 7 2 4 2 2 5 2 3 2" xfId="15964"/>
    <cellStyle name="Обычный 7 2 4 2 2 5 2 4" xfId="15965"/>
    <cellStyle name="Обычный 7 2 4 2 2 5 3" xfId="3927"/>
    <cellStyle name="Обычный 7 2 4 2 2 5 3 2" xfId="9045"/>
    <cellStyle name="Обычный 7 2 4 2 2 5 3 2 2" xfId="15966"/>
    <cellStyle name="Обычный 7 2 4 2 2 5 3 3" xfId="15967"/>
    <cellStyle name="Обычный 7 2 4 2 2 5 4" xfId="6989"/>
    <cellStyle name="Обычный 7 2 4 2 2 5 4 2" xfId="15968"/>
    <cellStyle name="Обычный 7 2 4 2 2 5 5" xfId="15969"/>
    <cellStyle name="Обычный 7 2 4 2 2 6" xfId="1482"/>
    <cellStyle name="Обычный 7 2 4 2 2 6 2" xfId="2588"/>
    <cellStyle name="Обычный 7 2 4 2 2 6 2 2" xfId="5126"/>
    <cellStyle name="Обычный 7 2 4 2 2 6 2 2 2" xfId="10244"/>
    <cellStyle name="Обычный 7 2 4 2 2 6 2 2 2 2" xfId="15970"/>
    <cellStyle name="Обычный 7 2 4 2 2 6 2 2 3" xfId="15971"/>
    <cellStyle name="Обычный 7 2 4 2 2 6 2 3" xfId="8188"/>
    <cellStyle name="Обычный 7 2 4 2 2 6 2 3 2" xfId="15972"/>
    <cellStyle name="Обычный 7 2 4 2 2 6 2 4" xfId="15973"/>
    <cellStyle name="Обычный 7 2 4 2 2 6 3" xfId="4098"/>
    <cellStyle name="Обычный 7 2 4 2 2 6 3 2" xfId="9216"/>
    <cellStyle name="Обычный 7 2 4 2 2 6 3 2 2" xfId="15974"/>
    <cellStyle name="Обычный 7 2 4 2 2 6 3 3" xfId="15975"/>
    <cellStyle name="Обычный 7 2 4 2 2 6 4" xfId="7160"/>
    <cellStyle name="Обычный 7 2 4 2 2 6 4 2" xfId="15976"/>
    <cellStyle name="Обычный 7 2 4 2 2 6 5" xfId="15977"/>
    <cellStyle name="Обычный 7 2 4 2 2 7" xfId="1653"/>
    <cellStyle name="Обычный 7 2 4 2 2 7 2" xfId="2759"/>
    <cellStyle name="Обычный 7 2 4 2 2 7 2 2" xfId="5297"/>
    <cellStyle name="Обычный 7 2 4 2 2 7 2 2 2" xfId="10415"/>
    <cellStyle name="Обычный 7 2 4 2 2 7 2 2 2 2" xfId="15978"/>
    <cellStyle name="Обычный 7 2 4 2 2 7 2 2 3" xfId="15979"/>
    <cellStyle name="Обычный 7 2 4 2 2 7 2 3" xfId="8359"/>
    <cellStyle name="Обычный 7 2 4 2 2 7 2 3 2" xfId="15980"/>
    <cellStyle name="Обычный 7 2 4 2 2 7 2 4" xfId="15981"/>
    <cellStyle name="Обычный 7 2 4 2 2 7 3" xfId="4269"/>
    <cellStyle name="Обычный 7 2 4 2 2 7 3 2" xfId="9387"/>
    <cellStyle name="Обычный 7 2 4 2 2 7 3 2 2" xfId="15982"/>
    <cellStyle name="Обычный 7 2 4 2 2 7 3 3" xfId="15983"/>
    <cellStyle name="Обычный 7 2 4 2 2 7 4" xfId="7331"/>
    <cellStyle name="Обычный 7 2 4 2 2 7 4 2" xfId="15984"/>
    <cellStyle name="Обычный 7 2 4 2 2 7 5" xfId="15985"/>
    <cellStyle name="Обычный 7 2 4 2 2 8" xfId="3071"/>
    <cellStyle name="Обычный 7 2 4 3" xfId="398"/>
    <cellStyle name="Обычный 7 2 4 3 2" xfId="399"/>
    <cellStyle name="Обычный 7 2 4 3 2 2" xfId="770"/>
    <cellStyle name="Обычный 7 2 4 3 2 2 2" xfId="1898"/>
    <cellStyle name="Обычный 7 2 4 3 2 2 2 2" xfId="4441"/>
    <cellStyle name="Обычный 7 2 4 3 2 2 2 2 2" xfId="9559"/>
    <cellStyle name="Обычный 7 2 4 3 2 2 2 2 2 2" xfId="15986"/>
    <cellStyle name="Обычный 7 2 4 3 2 2 2 2 3" xfId="15987"/>
    <cellStyle name="Обычный 7 2 4 3 2 2 2 3" xfId="7503"/>
    <cellStyle name="Обычный 7 2 4 3 2 2 2 3 2" xfId="15988"/>
    <cellStyle name="Обычный 7 2 4 3 2 2 2 4" xfId="15989"/>
    <cellStyle name="Обычный 7 2 4 3 2 2 3" xfId="3413"/>
    <cellStyle name="Обычный 7 2 4 3 2 2 3 2" xfId="8531"/>
    <cellStyle name="Обычный 7 2 4 3 2 2 3 2 2" xfId="15990"/>
    <cellStyle name="Обычный 7 2 4 3 2 2 3 3" xfId="15991"/>
    <cellStyle name="Обычный 7 2 4 3 2 2 4" xfId="6475"/>
    <cellStyle name="Обычный 7 2 4 3 2 2 4 2" xfId="15992"/>
    <cellStyle name="Обычный 7 2 4 3 2 2 5" xfId="15993"/>
    <cellStyle name="Обычный 7 2 4 3 2 3" xfId="957"/>
    <cellStyle name="Обычный 7 2 4 3 2 3 2" xfId="2076"/>
    <cellStyle name="Обычный 7 2 4 3 2 3 2 2" xfId="4614"/>
    <cellStyle name="Обычный 7 2 4 3 2 3 2 2 2" xfId="9732"/>
    <cellStyle name="Обычный 7 2 4 3 2 3 2 2 2 2" xfId="15994"/>
    <cellStyle name="Обычный 7 2 4 3 2 3 2 2 3" xfId="15995"/>
    <cellStyle name="Обычный 7 2 4 3 2 3 2 3" xfId="7676"/>
    <cellStyle name="Обычный 7 2 4 3 2 3 2 3 2" xfId="15996"/>
    <cellStyle name="Обычный 7 2 4 3 2 3 2 4" xfId="15997"/>
    <cellStyle name="Обычный 7 2 4 3 2 3 3" xfId="3586"/>
    <cellStyle name="Обычный 7 2 4 3 2 3 3 2" xfId="8704"/>
    <cellStyle name="Обычный 7 2 4 3 2 3 3 2 2" xfId="15998"/>
    <cellStyle name="Обычный 7 2 4 3 2 3 3 3" xfId="15999"/>
    <cellStyle name="Обычный 7 2 4 3 2 3 4" xfId="6648"/>
    <cellStyle name="Обычный 7 2 4 3 2 3 4 2" xfId="16000"/>
    <cellStyle name="Обычный 7 2 4 3 2 3 5" xfId="16001"/>
    <cellStyle name="Обычный 7 2 4 3 2 4" xfId="1128"/>
    <cellStyle name="Обычный 7 2 4 3 2 4 2" xfId="2247"/>
    <cellStyle name="Обычный 7 2 4 3 2 4 2 2" xfId="4785"/>
    <cellStyle name="Обычный 7 2 4 3 2 4 2 2 2" xfId="9903"/>
    <cellStyle name="Обычный 7 2 4 3 2 4 2 2 2 2" xfId="16002"/>
    <cellStyle name="Обычный 7 2 4 3 2 4 2 2 3" xfId="16003"/>
    <cellStyle name="Обычный 7 2 4 3 2 4 2 3" xfId="7847"/>
    <cellStyle name="Обычный 7 2 4 3 2 4 2 3 2" xfId="16004"/>
    <cellStyle name="Обычный 7 2 4 3 2 4 2 4" xfId="16005"/>
    <cellStyle name="Обычный 7 2 4 3 2 4 3" xfId="3757"/>
    <cellStyle name="Обычный 7 2 4 3 2 4 3 2" xfId="8875"/>
    <cellStyle name="Обычный 7 2 4 3 2 4 3 2 2" xfId="16006"/>
    <cellStyle name="Обычный 7 2 4 3 2 4 3 3" xfId="16007"/>
    <cellStyle name="Обычный 7 2 4 3 2 4 4" xfId="6819"/>
    <cellStyle name="Обычный 7 2 4 3 2 4 4 2" xfId="16008"/>
    <cellStyle name="Обычный 7 2 4 3 2 4 5" xfId="16009"/>
    <cellStyle name="Обычный 7 2 4 3 2 5" xfId="1309"/>
    <cellStyle name="Обычный 7 2 4 3 2 5 2" xfId="2418"/>
    <cellStyle name="Обычный 7 2 4 3 2 5 2 2" xfId="4956"/>
    <cellStyle name="Обычный 7 2 4 3 2 5 2 2 2" xfId="10074"/>
    <cellStyle name="Обычный 7 2 4 3 2 5 2 2 2 2" xfId="16010"/>
    <cellStyle name="Обычный 7 2 4 3 2 5 2 2 3" xfId="16011"/>
    <cellStyle name="Обычный 7 2 4 3 2 5 2 3" xfId="8018"/>
    <cellStyle name="Обычный 7 2 4 3 2 5 2 3 2" xfId="16012"/>
    <cellStyle name="Обычный 7 2 4 3 2 5 2 4" xfId="16013"/>
    <cellStyle name="Обычный 7 2 4 3 2 5 3" xfId="3928"/>
    <cellStyle name="Обычный 7 2 4 3 2 5 3 2" xfId="9046"/>
    <cellStyle name="Обычный 7 2 4 3 2 5 3 2 2" xfId="16014"/>
    <cellStyle name="Обычный 7 2 4 3 2 5 3 3" xfId="16015"/>
    <cellStyle name="Обычный 7 2 4 3 2 5 4" xfId="6990"/>
    <cellStyle name="Обычный 7 2 4 3 2 5 4 2" xfId="16016"/>
    <cellStyle name="Обычный 7 2 4 3 2 5 5" xfId="16017"/>
    <cellStyle name="Обычный 7 2 4 3 2 6" xfId="1483"/>
    <cellStyle name="Обычный 7 2 4 3 2 6 2" xfId="2589"/>
    <cellStyle name="Обычный 7 2 4 3 2 6 2 2" xfId="5127"/>
    <cellStyle name="Обычный 7 2 4 3 2 6 2 2 2" xfId="10245"/>
    <cellStyle name="Обычный 7 2 4 3 2 6 2 2 2 2" xfId="16018"/>
    <cellStyle name="Обычный 7 2 4 3 2 6 2 2 3" xfId="16019"/>
    <cellStyle name="Обычный 7 2 4 3 2 6 2 3" xfId="8189"/>
    <cellStyle name="Обычный 7 2 4 3 2 6 2 3 2" xfId="16020"/>
    <cellStyle name="Обычный 7 2 4 3 2 6 2 4" xfId="16021"/>
    <cellStyle name="Обычный 7 2 4 3 2 6 3" xfId="4099"/>
    <cellStyle name="Обычный 7 2 4 3 2 6 3 2" xfId="9217"/>
    <cellStyle name="Обычный 7 2 4 3 2 6 3 2 2" xfId="16022"/>
    <cellStyle name="Обычный 7 2 4 3 2 6 3 3" xfId="16023"/>
    <cellStyle name="Обычный 7 2 4 3 2 6 4" xfId="7161"/>
    <cellStyle name="Обычный 7 2 4 3 2 6 4 2" xfId="16024"/>
    <cellStyle name="Обычный 7 2 4 3 2 6 5" xfId="16025"/>
    <cellStyle name="Обычный 7 2 4 3 2 7" xfId="1654"/>
    <cellStyle name="Обычный 7 2 4 3 2 7 2" xfId="2760"/>
    <cellStyle name="Обычный 7 2 4 3 2 7 2 2" xfId="5298"/>
    <cellStyle name="Обычный 7 2 4 3 2 7 2 2 2" xfId="10416"/>
    <cellStyle name="Обычный 7 2 4 3 2 7 2 2 2 2" xfId="16026"/>
    <cellStyle name="Обычный 7 2 4 3 2 7 2 2 3" xfId="16027"/>
    <cellStyle name="Обычный 7 2 4 3 2 7 2 3" xfId="8360"/>
    <cellStyle name="Обычный 7 2 4 3 2 7 2 3 2" xfId="16028"/>
    <cellStyle name="Обычный 7 2 4 3 2 7 2 4" xfId="16029"/>
    <cellStyle name="Обычный 7 2 4 3 2 7 3" xfId="4270"/>
    <cellStyle name="Обычный 7 2 4 3 2 7 3 2" xfId="9388"/>
    <cellStyle name="Обычный 7 2 4 3 2 7 3 2 2" xfId="16030"/>
    <cellStyle name="Обычный 7 2 4 3 2 7 3 3" xfId="16031"/>
    <cellStyle name="Обычный 7 2 4 3 2 7 4" xfId="7332"/>
    <cellStyle name="Обычный 7 2 4 3 2 7 4 2" xfId="16032"/>
    <cellStyle name="Обычный 7 2 4 3 2 7 5" xfId="16033"/>
    <cellStyle name="Обычный 7 2 4 3 2 8" xfId="3072"/>
    <cellStyle name="Обычный 7 2 4 4" xfId="400"/>
    <cellStyle name="Обычный 7 2 4 4 2" xfId="771"/>
    <cellStyle name="Обычный 7 2 4 4 2 2" xfId="1899"/>
    <cellStyle name="Обычный 7 2 4 4 2 2 2" xfId="4442"/>
    <cellStyle name="Обычный 7 2 4 4 2 2 2 2" xfId="9560"/>
    <cellStyle name="Обычный 7 2 4 4 2 2 2 2 2" xfId="16034"/>
    <cellStyle name="Обычный 7 2 4 4 2 2 2 3" xfId="16035"/>
    <cellStyle name="Обычный 7 2 4 4 2 2 3" xfId="7504"/>
    <cellStyle name="Обычный 7 2 4 4 2 2 3 2" xfId="16036"/>
    <cellStyle name="Обычный 7 2 4 4 2 2 4" xfId="16037"/>
    <cellStyle name="Обычный 7 2 4 4 2 3" xfId="3414"/>
    <cellStyle name="Обычный 7 2 4 4 2 3 2" xfId="8532"/>
    <cellStyle name="Обычный 7 2 4 4 2 3 2 2" xfId="16038"/>
    <cellStyle name="Обычный 7 2 4 4 2 3 3" xfId="16039"/>
    <cellStyle name="Обычный 7 2 4 4 2 4" xfId="6476"/>
    <cellStyle name="Обычный 7 2 4 4 2 4 2" xfId="16040"/>
    <cellStyle name="Обычный 7 2 4 4 2 5" xfId="16041"/>
    <cellStyle name="Обычный 7 2 4 4 3" xfId="958"/>
    <cellStyle name="Обычный 7 2 4 4 3 2" xfId="2077"/>
    <cellStyle name="Обычный 7 2 4 4 3 2 2" xfId="4615"/>
    <cellStyle name="Обычный 7 2 4 4 3 2 2 2" xfId="9733"/>
    <cellStyle name="Обычный 7 2 4 4 3 2 2 2 2" xfId="16042"/>
    <cellStyle name="Обычный 7 2 4 4 3 2 2 3" xfId="16043"/>
    <cellStyle name="Обычный 7 2 4 4 3 2 3" xfId="7677"/>
    <cellStyle name="Обычный 7 2 4 4 3 2 3 2" xfId="16044"/>
    <cellStyle name="Обычный 7 2 4 4 3 2 4" xfId="16045"/>
    <cellStyle name="Обычный 7 2 4 4 3 3" xfId="3587"/>
    <cellStyle name="Обычный 7 2 4 4 3 3 2" xfId="8705"/>
    <cellStyle name="Обычный 7 2 4 4 3 3 2 2" xfId="16046"/>
    <cellStyle name="Обычный 7 2 4 4 3 3 3" xfId="16047"/>
    <cellStyle name="Обычный 7 2 4 4 3 4" xfId="6649"/>
    <cellStyle name="Обычный 7 2 4 4 3 4 2" xfId="16048"/>
    <cellStyle name="Обычный 7 2 4 4 3 5" xfId="16049"/>
    <cellStyle name="Обычный 7 2 4 4 4" xfId="1129"/>
    <cellStyle name="Обычный 7 2 4 4 4 2" xfId="2248"/>
    <cellStyle name="Обычный 7 2 4 4 4 2 2" xfId="4786"/>
    <cellStyle name="Обычный 7 2 4 4 4 2 2 2" xfId="9904"/>
    <cellStyle name="Обычный 7 2 4 4 4 2 2 2 2" xfId="16050"/>
    <cellStyle name="Обычный 7 2 4 4 4 2 2 3" xfId="16051"/>
    <cellStyle name="Обычный 7 2 4 4 4 2 3" xfId="7848"/>
    <cellStyle name="Обычный 7 2 4 4 4 2 3 2" xfId="16052"/>
    <cellStyle name="Обычный 7 2 4 4 4 2 4" xfId="16053"/>
    <cellStyle name="Обычный 7 2 4 4 4 3" xfId="3758"/>
    <cellStyle name="Обычный 7 2 4 4 4 3 2" xfId="8876"/>
    <cellStyle name="Обычный 7 2 4 4 4 3 2 2" xfId="16054"/>
    <cellStyle name="Обычный 7 2 4 4 4 3 3" xfId="16055"/>
    <cellStyle name="Обычный 7 2 4 4 4 4" xfId="6820"/>
    <cellStyle name="Обычный 7 2 4 4 4 4 2" xfId="16056"/>
    <cellStyle name="Обычный 7 2 4 4 4 5" xfId="16057"/>
    <cellStyle name="Обычный 7 2 4 4 5" xfId="1310"/>
    <cellStyle name="Обычный 7 2 4 4 5 2" xfId="2419"/>
    <cellStyle name="Обычный 7 2 4 4 5 2 2" xfId="4957"/>
    <cellStyle name="Обычный 7 2 4 4 5 2 2 2" xfId="10075"/>
    <cellStyle name="Обычный 7 2 4 4 5 2 2 2 2" xfId="16058"/>
    <cellStyle name="Обычный 7 2 4 4 5 2 2 3" xfId="16059"/>
    <cellStyle name="Обычный 7 2 4 4 5 2 3" xfId="8019"/>
    <cellStyle name="Обычный 7 2 4 4 5 2 3 2" xfId="16060"/>
    <cellStyle name="Обычный 7 2 4 4 5 2 4" xfId="16061"/>
    <cellStyle name="Обычный 7 2 4 4 5 3" xfId="3929"/>
    <cellStyle name="Обычный 7 2 4 4 5 3 2" xfId="9047"/>
    <cellStyle name="Обычный 7 2 4 4 5 3 2 2" xfId="16062"/>
    <cellStyle name="Обычный 7 2 4 4 5 3 3" xfId="16063"/>
    <cellStyle name="Обычный 7 2 4 4 5 4" xfId="6991"/>
    <cellStyle name="Обычный 7 2 4 4 5 4 2" xfId="16064"/>
    <cellStyle name="Обычный 7 2 4 4 5 5" xfId="16065"/>
    <cellStyle name="Обычный 7 2 4 4 6" xfId="1484"/>
    <cellStyle name="Обычный 7 2 4 4 6 2" xfId="2590"/>
    <cellStyle name="Обычный 7 2 4 4 6 2 2" xfId="5128"/>
    <cellStyle name="Обычный 7 2 4 4 6 2 2 2" xfId="10246"/>
    <cellStyle name="Обычный 7 2 4 4 6 2 2 2 2" xfId="16066"/>
    <cellStyle name="Обычный 7 2 4 4 6 2 2 3" xfId="16067"/>
    <cellStyle name="Обычный 7 2 4 4 6 2 3" xfId="8190"/>
    <cellStyle name="Обычный 7 2 4 4 6 2 3 2" xfId="16068"/>
    <cellStyle name="Обычный 7 2 4 4 6 2 4" xfId="16069"/>
    <cellStyle name="Обычный 7 2 4 4 6 3" xfId="4100"/>
    <cellStyle name="Обычный 7 2 4 4 6 3 2" xfId="9218"/>
    <cellStyle name="Обычный 7 2 4 4 6 3 2 2" xfId="16070"/>
    <cellStyle name="Обычный 7 2 4 4 6 3 3" xfId="16071"/>
    <cellStyle name="Обычный 7 2 4 4 6 4" xfId="7162"/>
    <cellStyle name="Обычный 7 2 4 4 6 4 2" xfId="16072"/>
    <cellStyle name="Обычный 7 2 4 4 6 5" xfId="16073"/>
    <cellStyle name="Обычный 7 2 4 4 7" xfId="1655"/>
    <cellStyle name="Обычный 7 2 4 4 7 2" xfId="2761"/>
    <cellStyle name="Обычный 7 2 4 4 7 2 2" xfId="5299"/>
    <cellStyle name="Обычный 7 2 4 4 7 2 2 2" xfId="10417"/>
    <cellStyle name="Обычный 7 2 4 4 7 2 2 2 2" xfId="16074"/>
    <cellStyle name="Обычный 7 2 4 4 7 2 2 3" xfId="16075"/>
    <cellStyle name="Обычный 7 2 4 4 7 2 3" xfId="8361"/>
    <cellStyle name="Обычный 7 2 4 4 7 2 3 2" xfId="16076"/>
    <cellStyle name="Обычный 7 2 4 4 7 2 4" xfId="16077"/>
    <cellStyle name="Обычный 7 2 4 4 7 3" xfId="4271"/>
    <cellStyle name="Обычный 7 2 4 4 7 3 2" xfId="9389"/>
    <cellStyle name="Обычный 7 2 4 4 7 3 2 2" xfId="16078"/>
    <cellStyle name="Обычный 7 2 4 4 7 3 3" xfId="16079"/>
    <cellStyle name="Обычный 7 2 4 4 7 4" xfId="7333"/>
    <cellStyle name="Обычный 7 2 4 4 7 4 2" xfId="16080"/>
    <cellStyle name="Обычный 7 2 4 4 7 5" xfId="16081"/>
    <cellStyle name="Обычный 7 2 4 4 8" xfId="3073"/>
    <cellStyle name="Обычный 7 2 5" xfId="401"/>
    <cellStyle name="Обычный 7 2 5 2" xfId="402"/>
    <cellStyle name="Обычный 7 2 5 2 2" xfId="772"/>
    <cellStyle name="Обычный 7 2 5 2 2 2" xfId="1900"/>
    <cellStyle name="Обычный 7 2 5 2 2 2 2" xfId="4443"/>
    <cellStyle name="Обычный 7 2 5 2 2 2 2 2" xfId="9561"/>
    <cellStyle name="Обычный 7 2 5 2 2 2 2 2 2" xfId="16082"/>
    <cellStyle name="Обычный 7 2 5 2 2 2 2 3" xfId="16083"/>
    <cellStyle name="Обычный 7 2 5 2 2 2 3" xfId="7505"/>
    <cellStyle name="Обычный 7 2 5 2 2 2 3 2" xfId="16084"/>
    <cellStyle name="Обычный 7 2 5 2 2 2 4" xfId="16085"/>
    <cellStyle name="Обычный 7 2 5 2 2 3" xfId="3415"/>
    <cellStyle name="Обычный 7 2 5 2 2 3 2" xfId="8533"/>
    <cellStyle name="Обычный 7 2 5 2 2 3 2 2" xfId="16086"/>
    <cellStyle name="Обычный 7 2 5 2 2 3 3" xfId="16087"/>
    <cellStyle name="Обычный 7 2 5 2 2 4" xfId="6477"/>
    <cellStyle name="Обычный 7 2 5 2 2 4 2" xfId="16088"/>
    <cellStyle name="Обычный 7 2 5 2 2 5" xfId="16089"/>
    <cellStyle name="Обычный 7 2 5 2 3" xfId="959"/>
    <cellStyle name="Обычный 7 2 5 2 3 2" xfId="2078"/>
    <cellStyle name="Обычный 7 2 5 2 3 2 2" xfId="4616"/>
    <cellStyle name="Обычный 7 2 5 2 3 2 2 2" xfId="9734"/>
    <cellStyle name="Обычный 7 2 5 2 3 2 2 2 2" xfId="16090"/>
    <cellStyle name="Обычный 7 2 5 2 3 2 2 3" xfId="16091"/>
    <cellStyle name="Обычный 7 2 5 2 3 2 3" xfId="7678"/>
    <cellStyle name="Обычный 7 2 5 2 3 2 3 2" xfId="16092"/>
    <cellStyle name="Обычный 7 2 5 2 3 2 4" xfId="16093"/>
    <cellStyle name="Обычный 7 2 5 2 3 3" xfId="3588"/>
    <cellStyle name="Обычный 7 2 5 2 3 3 2" xfId="8706"/>
    <cellStyle name="Обычный 7 2 5 2 3 3 2 2" xfId="16094"/>
    <cellStyle name="Обычный 7 2 5 2 3 3 3" xfId="16095"/>
    <cellStyle name="Обычный 7 2 5 2 3 4" xfId="6650"/>
    <cellStyle name="Обычный 7 2 5 2 3 4 2" xfId="16096"/>
    <cellStyle name="Обычный 7 2 5 2 3 5" xfId="16097"/>
    <cellStyle name="Обычный 7 2 5 2 4" xfId="1130"/>
    <cellStyle name="Обычный 7 2 5 2 4 2" xfId="2249"/>
    <cellStyle name="Обычный 7 2 5 2 4 2 2" xfId="4787"/>
    <cellStyle name="Обычный 7 2 5 2 4 2 2 2" xfId="9905"/>
    <cellStyle name="Обычный 7 2 5 2 4 2 2 2 2" xfId="16098"/>
    <cellStyle name="Обычный 7 2 5 2 4 2 2 3" xfId="16099"/>
    <cellStyle name="Обычный 7 2 5 2 4 2 3" xfId="7849"/>
    <cellStyle name="Обычный 7 2 5 2 4 2 3 2" xfId="16100"/>
    <cellStyle name="Обычный 7 2 5 2 4 2 4" xfId="16101"/>
    <cellStyle name="Обычный 7 2 5 2 4 3" xfId="3759"/>
    <cellStyle name="Обычный 7 2 5 2 4 3 2" xfId="8877"/>
    <cellStyle name="Обычный 7 2 5 2 4 3 2 2" xfId="16102"/>
    <cellStyle name="Обычный 7 2 5 2 4 3 3" xfId="16103"/>
    <cellStyle name="Обычный 7 2 5 2 4 4" xfId="6821"/>
    <cellStyle name="Обычный 7 2 5 2 4 4 2" xfId="16104"/>
    <cellStyle name="Обычный 7 2 5 2 4 5" xfId="16105"/>
    <cellStyle name="Обычный 7 2 5 2 5" xfId="1311"/>
    <cellStyle name="Обычный 7 2 5 2 5 2" xfId="2420"/>
    <cellStyle name="Обычный 7 2 5 2 5 2 2" xfId="4958"/>
    <cellStyle name="Обычный 7 2 5 2 5 2 2 2" xfId="10076"/>
    <cellStyle name="Обычный 7 2 5 2 5 2 2 2 2" xfId="16106"/>
    <cellStyle name="Обычный 7 2 5 2 5 2 2 3" xfId="16107"/>
    <cellStyle name="Обычный 7 2 5 2 5 2 3" xfId="8020"/>
    <cellStyle name="Обычный 7 2 5 2 5 2 3 2" xfId="16108"/>
    <cellStyle name="Обычный 7 2 5 2 5 2 4" xfId="16109"/>
    <cellStyle name="Обычный 7 2 5 2 5 3" xfId="3930"/>
    <cellStyle name="Обычный 7 2 5 2 5 3 2" xfId="9048"/>
    <cellStyle name="Обычный 7 2 5 2 5 3 2 2" xfId="16110"/>
    <cellStyle name="Обычный 7 2 5 2 5 3 3" xfId="16111"/>
    <cellStyle name="Обычный 7 2 5 2 5 4" xfId="6992"/>
    <cellStyle name="Обычный 7 2 5 2 5 4 2" xfId="16112"/>
    <cellStyle name="Обычный 7 2 5 2 5 5" xfId="16113"/>
    <cellStyle name="Обычный 7 2 5 2 6" xfId="1485"/>
    <cellStyle name="Обычный 7 2 5 2 6 2" xfId="2591"/>
    <cellStyle name="Обычный 7 2 5 2 6 2 2" xfId="5129"/>
    <cellStyle name="Обычный 7 2 5 2 6 2 2 2" xfId="10247"/>
    <cellStyle name="Обычный 7 2 5 2 6 2 2 2 2" xfId="16114"/>
    <cellStyle name="Обычный 7 2 5 2 6 2 2 3" xfId="16115"/>
    <cellStyle name="Обычный 7 2 5 2 6 2 3" xfId="8191"/>
    <cellStyle name="Обычный 7 2 5 2 6 2 3 2" xfId="16116"/>
    <cellStyle name="Обычный 7 2 5 2 6 2 4" xfId="16117"/>
    <cellStyle name="Обычный 7 2 5 2 6 3" xfId="4101"/>
    <cellStyle name="Обычный 7 2 5 2 6 3 2" xfId="9219"/>
    <cellStyle name="Обычный 7 2 5 2 6 3 2 2" xfId="16118"/>
    <cellStyle name="Обычный 7 2 5 2 6 3 3" xfId="16119"/>
    <cellStyle name="Обычный 7 2 5 2 6 4" xfId="7163"/>
    <cellStyle name="Обычный 7 2 5 2 6 4 2" xfId="16120"/>
    <cellStyle name="Обычный 7 2 5 2 6 5" xfId="16121"/>
    <cellStyle name="Обычный 7 2 5 2 7" xfId="1656"/>
    <cellStyle name="Обычный 7 2 5 2 7 2" xfId="2762"/>
    <cellStyle name="Обычный 7 2 5 2 7 2 2" xfId="5300"/>
    <cellStyle name="Обычный 7 2 5 2 7 2 2 2" xfId="10418"/>
    <cellStyle name="Обычный 7 2 5 2 7 2 2 2 2" xfId="16122"/>
    <cellStyle name="Обычный 7 2 5 2 7 2 2 3" xfId="16123"/>
    <cellStyle name="Обычный 7 2 5 2 7 2 3" xfId="8362"/>
    <cellStyle name="Обычный 7 2 5 2 7 2 3 2" xfId="16124"/>
    <cellStyle name="Обычный 7 2 5 2 7 2 4" xfId="16125"/>
    <cellStyle name="Обычный 7 2 5 2 7 3" xfId="4272"/>
    <cellStyle name="Обычный 7 2 5 2 7 3 2" xfId="9390"/>
    <cellStyle name="Обычный 7 2 5 2 7 3 2 2" xfId="16126"/>
    <cellStyle name="Обычный 7 2 5 2 7 3 3" xfId="16127"/>
    <cellStyle name="Обычный 7 2 5 2 7 4" xfId="7334"/>
    <cellStyle name="Обычный 7 2 5 2 7 4 2" xfId="16128"/>
    <cellStyle name="Обычный 7 2 5 2 7 5" xfId="16129"/>
    <cellStyle name="Обычный 7 2 5 2 8" xfId="3074"/>
    <cellStyle name="Обычный 7 2 6" xfId="403"/>
    <cellStyle name="Обычный 7 2 6 2" xfId="404"/>
    <cellStyle name="Обычный 7 2 6 2 2" xfId="773"/>
    <cellStyle name="Обычный 7 2 6 2 2 2" xfId="1901"/>
    <cellStyle name="Обычный 7 2 6 2 2 2 2" xfId="4444"/>
    <cellStyle name="Обычный 7 2 6 2 2 2 2 2" xfId="9562"/>
    <cellStyle name="Обычный 7 2 6 2 2 2 2 2 2" xfId="16130"/>
    <cellStyle name="Обычный 7 2 6 2 2 2 2 3" xfId="16131"/>
    <cellStyle name="Обычный 7 2 6 2 2 2 3" xfId="7506"/>
    <cellStyle name="Обычный 7 2 6 2 2 2 3 2" xfId="16132"/>
    <cellStyle name="Обычный 7 2 6 2 2 2 4" xfId="16133"/>
    <cellStyle name="Обычный 7 2 6 2 2 3" xfId="3416"/>
    <cellStyle name="Обычный 7 2 6 2 2 3 2" xfId="8534"/>
    <cellStyle name="Обычный 7 2 6 2 2 3 2 2" xfId="16134"/>
    <cellStyle name="Обычный 7 2 6 2 2 3 3" xfId="16135"/>
    <cellStyle name="Обычный 7 2 6 2 2 4" xfId="6478"/>
    <cellStyle name="Обычный 7 2 6 2 2 4 2" xfId="16136"/>
    <cellStyle name="Обычный 7 2 6 2 2 5" xfId="16137"/>
    <cellStyle name="Обычный 7 2 6 2 3" xfId="960"/>
    <cellStyle name="Обычный 7 2 6 2 3 2" xfId="2079"/>
    <cellStyle name="Обычный 7 2 6 2 3 2 2" xfId="4617"/>
    <cellStyle name="Обычный 7 2 6 2 3 2 2 2" xfId="9735"/>
    <cellStyle name="Обычный 7 2 6 2 3 2 2 2 2" xfId="16138"/>
    <cellStyle name="Обычный 7 2 6 2 3 2 2 3" xfId="16139"/>
    <cellStyle name="Обычный 7 2 6 2 3 2 3" xfId="7679"/>
    <cellStyle name="Обычный 7 2 6 2 3 2 3 2" xfId="16140"/>
    <cellStyle name="Обычный 7 2 6 2 3 2 4" xfId="16141"/>
    <cellStyle name="Обычный 7 2 6 2 3 3" xfId="3589"/>
    <cellStyle name="Обычный 7 2 6 2 3 3 2" xfId="8707"/>
    <cellStyle name="Обычный 7 2 6 2 3 3 2 2" xfId="16142"/>
    <cellStyle name="Обычный 7 2 6 2 3 3 3" xfId="16143"/>
    <cellStyle name="Обычный 7 2 6 2 3 4" xfId="6651"/>
    <cellStyle name="Обычный 7 2 6 2 3 4 2" xfId="16144"/>
    <cellStyle name="Обычный 7 2 6 2 3 5" xfId="16145"/>
    <cellStyle name="Обычный 7 2 6 2 4" xfId="1131"/>
    <cellStyle name="Обычный 7 2 6 2 4 2" xfId="2250"/>
    <cellStyle name="Обычный 7 2 6 2 4 2 2" xfId="4788"/>
    <cellStyle name="Обычный 7 2 6 2 4 2 2 2" xfId="9906"/>
    <cellStyle name="Обычный 7 2 6 2 4 2 2 2 2" xfId="16146"/>
    <cellStyle name="Обычный 7 2 6 2 4 2 2 3" xfId="16147"/>
    <cellStyle name="Обычный 7 2 6 2 4 2 3" xfId="7850"/>
    <cellStyle name="Обычный 7 2 6 2 4 2 3 2" xfId="16148"/>
    <cellStyle name="Обычный 7 2 6 2 4 2 4" xfId="16149"/>
    <cellStyle name="Обычный 7 2 6 2 4 3" xfId="3760"/>
    <cellStyle name="Обычный 7 2 6 2 4 3 2" xfId="8878"/>
    <cellStyle name="Обычный 7 2 6 2 4 3 2 2" xfId="16150"/>
    <cellStyle name="Обычный 7 2 6 2 4 3 3" xfId="16151"/>
    <cellStyle name="Обычный 7 2 6 2 4 4" xfId="6822"/>
    <cellStyle name="Обычный 7 2 6 2 4 4 2" xfId="16152"/>
    <cellStyle name="Обычный 7 2 6 2 4 5" xfId="16153"/>
    <cellStyle name="Обычный 7 2 6 2 5" xfId="1312"/>
    <cellStyle name="Обычный 7 2 6 2 5 2" xfId="2421"/>
    <cellStyle name="Обычный 7 2 6 2 5 2 2" xfId="4959"/>
    <cellStyle name="Обычный 7 2 6 2 5 2 2 2" xfId="10077"/>
    <cellStyle name="Обычный 7 2 6 2 5 2 2 2 2" xfId="16154"/>
    <cellStyle name="Обычный 7 2 6 2 5 2 2 3" xfId="16155"/>
    <cellStyle name="Обычный 7 2 6 2 5 2 3" xfId="8021"/>
    <cellStyle name="Обычный 7 2 6 2 5 2 3 2" xfId="16156"/>
    <cellStyle name="Обычный 7 2 6 2 5 2 4" xfId="16157"/>
    <cellStyle name="Обычный 7 2 6 2 5 3" xfId="3931"/>
    <cellStyle name="Обычный 7 2 6 2 5 3 2" xfId="9049"/>
    <cellStyle name="Обычный 7 2 6 2 5 3 2 2" xfId="16158"/>
    <cellStyle name="Обычный 7 2 6 2 5 3 3" xfId="16159"/>
    <cellStyle name="Обычный 7 2 6 2 5 4" xfId="6993"/>
    <cellStyle name="Обычный 7 2 6 2 5 4 2" xfId="16160"/>
    <cellStyle name="Обычный 7 2 6 2 5 5" xfId="16161"/>
    <cellStyle name="Обычный 7 2 6 2 6" xfId="1486"/>
    <cellStyle name="Обычный 7 2 6 2 6 2" xfId="2592"/>
    <cellStyle name="Обычный 7 2 6 2 6 2 2" xfId="5130"/>
    <cellStyle name="Обычный 7 2 6 2 6 2 2 2" xfId="10248"/>
    <cellStyle name="Обычный 7 2 6 2 6 2 2 2 2" xfId="16162"/>
    <cellStyle name="Обычный 7 2 6 2 6 2 2 3" xfId="16163"/>
    <cellStyle name="Обычный 7 2 6 2 6 2 3" xfId="8192"/>
    <cellStyle name="Обычный 7 2 6 2 6 2 3 2" xfId="16164"/>
    <cellStyle name="Обычный 7 2 6 2 6 2 4" xfId="16165"/>
    <cellStyle name="Обычный 7 2 6 2 6 3" xfId="4102"/>
    <cellStyle name="Обычный 7 2 6 2 6 3 2" xfId="9220"/>
    <cellStyle name="Обычный 7 2 6 2 6 3 2 2" xfId="16166"/>
    <cellStyle name="Обычный 7 2 6 2 6 3 3" xfId="16167"/>
    <cellStyle name="Обычный 7 2 6 2 6 4" xfId="7164"/>
    <cellStyle name="Обычный 7 2 6 2 6 4 2" xfId="16168"/>
    <cellStyle name="Обычный 7 2 6 2 6 5" xfId="16169"/>
    <cellStyle name="Обычный 7 2 6 2 7" xfId="1657"/>
    <cellStyle name="Обычный 7 2 6 2 7 2" xfId="2763"/>
    <cellStyle name="Обычный 7 2 6 2 7 2 2" xfId="5301"/>
    <cellStyle name="Обычный 7 2 6 2 7 2 2 2" xfId="10419"/>
    <cellStyle name="Обычный 7 2 6 2 7 2 2 2 2" xfId="16170"/>
    <cellStyle name="Обычный 7 2 6 2 7 2 2 3" xfId="16171"/>
    <cellStyle name="Обычный 7 2 6 2 7 2 3" xfId="8363"/>
    <cellStyle name="Обычный 7 2 6 2 7 2 3 2" xfId="16172"/>
    <cellStyle name="Обычный 7 2 6 2 7 2 4" xfId="16173"/>
    <cellStyle name="Обычный 7 2 6 2 7 3" xfId="4273"/>
    <cellStyle name="Обычный 7 2 6 2 7 3 2" xfId="9391"/>
    <cellStyle name="Обычный 7 2 6 2 7 3 2 2" xfId="16174"/>
    <cellStyle name="Обычный 7 2 6 2 7 3 3" xfId="16175"/>
    <cellStyle name="Обычный 7 2 6 2 7 4" xfId="7335"/>
    <cellStyle name="Обычный 7 2 6 2 7 4 2" xfId="16176"/>
    <cellStyle name="Обычный 7 2 6 2 7 5" xfId="16177"/>
    <cellStyle name="Обычный 7 2 6 2 8" xfId="3075"/>
    <cellStyle name="Обычный 7 2 7" xfId="405"/>
    <cellStyle name="Обычный 7 2 7 2" xfId="406"/>
    <cellStyle name="Обычный 7 2 7 2 2" xfId="774"/>
    <cellStyle name="Обычный 7 2 7 2 2 2" xfId="1902"/>
    <cellStyle name="Обычный 7 2 7 2 2 2 2" xfId="4445"/>
    <cellStyle name="Обычный 7 2 7 2 2 2 2 2" xfId="9563"/>
    <cellStyle name="Обычный 7 2 7 2 2 2 2 2 2" xfId="16178"/>
    <cellStyle name="Обычный 7 2 7 2 2 2 2 3" xfId="16179"/>
    <cellStyle name="Обычный 7 2 7 2 2 2 3" xfId="7507"/>
    <cellStyle name="Обычный 7 2 7 2 2 2 3 2" xfId="16180"/>
    <cellStyle name="Обычный 7 2 7 2 2 2 4" xfId="16181"/>
    <cellStyle name="Обычный 7 2 7 2 2 3" xfId="3417"/>
    <cellStyle name="Обычный 7 2 7 2 2 3 2" xfId="8535"/>
    <cellStyle name="Обычный 7 2 7 2 2 3 2 2" xfId="16182"/>
    <cellStyle name="Обычный 7 2 7 2 2 3 3" xfId="16183"/>
    <cellStyle name="Обычный 7 2 7 2 2 4" xfId="6479"/>
    <cellStyle name="Обычный 7 2 7 2 2 4 2" xfId="16184"/>
    <cellStyle name="Обычный 7 2 7 2 2 5" xfId="16185"/>
    <cellStyle name="Обычный 7 2 7 2 3" xfId="961"/>
    <cellStyle name="Обычный 7 2 7 2 3 2" xfId="2080"/>
    <cellStyle name="Обычный 7 2 7 2 3 2 2" xfId="4618"/>
    <cellStyle name="Обычный 7 2 7 2 3 2 2 2" xfId="9736"/>
    <cellStyle name="Обычный 7 2 7 2 3 2 2 2 2" xfId="16186"/>
    <cellStyle name="Обычный 7 2 7 2 3 2 2 3" xfId="16187"/>
    <cellStyle name="Обычный 7 2 7 2 3 2 3" xfId="7680"/>
    <cellStyle name="Обычный 7 2 7 2 3 2 3 2" xfId="16188"/>
    <cellStyle name="Обычный 7 2 7 2 3 2 4" xfId="16189"/>
    <cellStyle name="Обычный 7 2 7 2 3 3" xfId="3590"/>
    <cellStyle name="Обычный 7 2 7 2 3 3 2" xfId="8708"/>
    <cellStyle name="Обычный 7 2 7 2 3 3 2 2" xfId="16190"/>
    <cellStyle name="Обычный 7 2 7 2 3 3 3" xfId="16191"/>
    <cellStyle name="Обычный 7 2 7 2 3 4" xfId="6652"/>
    <cellStyle name="Обычный 7 2 7 2 3 4 2" xfId="16192"/>
    <cellStyle name="Обычный 7 2 7 2 3 5" xfId="16193"/>
    <cellStyle name="Обычный 7 2 7 2 4" xfId="1132"/>
    <cellStyle name="Обычный 7 2 7 2 4 2" xfId="2251"/>
    <cellStyle name="Обычный 7 2 7 2 4 2 2" xfId="4789"/>
    <cellStyle name="Обычный 7 2 7 2 4 2 2 2" xfId="9907"/>
    <cellStyle name="Обычный 7 2 7 2 4 2 2 2 2" xfId="16194"/>
    <cellStyle name="Обычный 7 2 7 2 4 2 2 3" xfId="16195"/>
    <cellStyle name="Обычный 7 2 7 2 4 2 3" xfId="7851"/>
    <cellStyle name="Обычный 7 2 7 2 4 2 3 2" xfId="16196"/>
    <cellStyle name="Обычный 7 2 7 2 4 2 4" xfId="16197"/>
    <cellStyle name="Обычный 7 2 7 2 4 3" xfId="3761"/>
    <cellStyle name="Обычный 7 2 7 2 4 3 2" xfId="8879"/>
    <cellStyle name="Обычный 7 2 7 2 4 3 2 2" xfId="16198"/>
    <cellStyle name="Обычный 7 2 7 2 4 3 3" xfId="16199"/>
    <cellStyle name="Обычный 7 2 7 2 4 4" xfId="6823"/>
    <cellStyle name="Обычный 7 2 7 2 4 4 2" xfId="16200"/>
    <cellStyle name="Обычный 7 2 7 2 4 5" xfId="16201"/>
    <cellStyle name="Обычный 7 2 7 2 5" xfId="1313"/>
    <cellStyle name="Обычный 7 2 7 2 5 2" xfId="2422"/>
    <cellStyle name="Обычный 7 2 7 2 5 2 2" xfId="4960"/>
    <cellStyle name="Обычный 7 2 7 2 5 2 2 2" xfId="10078"/>
    <cellStyle name="Обычный 7 2 7 2 5 2 2 2 2" xfId="16202"/>
    <cellStyle name="Обычный 7 2 7 2 5 2 2 3" xfId="16203"/>
    <cellStyle name="Обычный 7 2 7 2 5 2 3" xfId="8022"/>
    <cellStyle name="Обычный 7 2 7 2 5 2 3 2" xfId="16204"/>
    <cellStyle name="Обычный 7 2 7 2 5 2 4" xfId="16205"/>
    <cellStyle name="Обычный 7 2 7 2 5 3" xfId="3932"/>
    <cellStyle name="Обычный 7 2 7 2 5 3 2" xfId="9050"/>
    <cellStyle name="Обычный 7 2 7 2 5 3 2 2" xfId="16206"/>
    <cellStyle name="Обычный 7 2 7 2 5 3 3" xfId="16207"/>
    <cellStyle name="Обычный 7 2 7 2 5 4" xfId="6994"/>
    <cellStyle name="Обычный 7 2 7 2 5 4 2" xfId="16208"/>
    <cellStyle name="Обычный 7 2 7 2 5 5" xfId="16209"/>
    <cellStyle name="Обычный 7 2 7 2 6" xfId="1487"/>
    <cellStyle name="Обычный 7 2 7 2 6 2" xfId="2593"/>
    <cellStyle name="Обычный 7 2 7 2 6 2 2" xfId="5131"/>
    <cellStyle name="Обычный 7 2 7 2 6 2 2 2" xfId="10249"/>
    <cellStyle name="Обычный 7 2 7 2 6 2 2 2 2" xfId="16210"/>
    <cellStyle name="Обычный 7 2 7 2 6 2 2 3" xfId="16211"/>
    <cellStyle name="Обычный 7 2 7 2 6 2 3" xfId="8193"/>
    <cellStyle name="Обычный 7 2 7 2 6 2 3 2" xfId="16212"/>
    <cellStyle name="Обычный 7 2 7 2 6 2 4" xfId="16213"/>
    <cellStyle name="Обычный 7 2 7 2 6 3" xfId="4103"/>
    <cellStyle name="Обычный 7 2 7 2 6 3 2" xfId="9221"/>
    <cellStyle name="Обычный 7 2 7 2 6 3 2 2" xfId="16214"/>
    <cellStyle name="Обычный 7 2 7 2 6 3 3" xfId="16215"/>
    <cellStyle name="Обычный 7 2 7 2 6 4" xfId="7165"/>
    <cellStyle name="Обычный 7 2 7 2 6 4 2" xfId="16216"/>
    <cellStyle name="Обычный 7 2 7 2 6 5" xfId="16217"/>
    <cellStyle name="Обычный 7 2 7 2 7" xfId="1658"/>
    <cellStyle name="Обычный 7 2 7 2 7 2" xfId="2764"/>
    <cellStyle name="Обычный 7 2 7 2 7 2 2" xfId="5302"/>
    <cellStyle name="Обычный 7 2 7 2 7 2 2 2" xfId="10420"/>
    <cellStyle name="Обычный 7 2 7 2 7 2 2 2 2" xfId="16218"/>
    <cellStyle name="Обычный 7 2 7 2 7 2 2 3" xfId="16219"/>
    <cellStyle name="Обычный 7 2 7 2 7 2 3" xfId="8364"/>
    <cellStyle name="Обычный 7 2 7 2 7 2 3 2" xfId="16220"/>
    <cellStyle name="Обычный 7 2 7 2 7 2 4" xfId="16221"/>
    <cellStyle name="Обычный 7 2 7 2 7 3" xfId="4274"/>
    <cellStyle name="Обычный 7 2 7 2 7 3 2" xfId="9392"/>
    <cellStyle name="Обычный 7 2 7 2 7 3 2 2" xfId="16222"/>
    <cellStyle name="Обычный 7 2 7 2 7 3 3" xfId="16223"/>
    <cellStyle name="Обычный 7 2 7 2 7 4" xfId="7336"/>
    <cellStyle name="Обычный 7 2 7 2 7 4 2" xfId="16224"/>
    <cellStyle name="Обычный 7 2 7 2 7 5" xfId="16225"/>
    <cellStyle name="Обычный 7 2 7 2 8" xfId="3076"/>
    <cellStyle name="Обычный 7 2 8" xfId="407"/>
    <cellStyle name="Обычный 7 2 8 2" xfId="775"/>
    <cellStyle name="Обычный 7 2 8 2 2" xfId="1903"/>
    <cellStyle name="Обычный 7 2 8 2 2 2" xfId="4446"/>
    <cellStyle name="Обычный 7 2 8 2 2 2 2" xfId="9564"/>
    <cellStyle name="Обычный 7 2 8 2 2 2 2 2" xfId="16226"/>
    <cellStyle name="Обычный 7 2 8 2 2 2 3" xfId="16227"/>
    <cellStyle name="Обычный 7 2 8 2 2 3" xfId="7508"/>
    <cellStyle name="Обычный 7 2 8 2 2 3 2" xfId="16228"/>
    <cellStyle name="Обычный 7 2 8 2 2 4" xfId="16229"/>
    <cellStyle name="Обычный 7 2 8 2 3" xfId="3418"/>
    <cellStyle name="Обычный 7 2 8 2 3 2" xfId="8536"/>
    <cellStyle name="Обычный 7 2 8 2 3 2 2" xfId="16230"/>
    <cellStyle name="Обычный 7 2 8 2 3 3" xfId="16231"/>
    <cellStyle name="Обычный 7 2 8 2 4" xfId="6480"/>
    <cellStyle name="Обычный 7 2 8 2 4 2" xfId="16232"/>
    <cellStyle name="Обычный 7 2 8 2 5" xfId="16233"/>
    <cellStyle name="Обычный 7 2 8 3" xfId="962"/>
    <cellStyle name="Обычный 7 2 8 3 2" xfId="2081"/>
    <cellStyle name="Обычный 7 2 8 3 2 2" xfId="4619"/>
    <cellStyle name="Обычный 7 2 8 3 2 2 2" xfId="9737"/>
    <cellStyle name="Обычный 7 2 8 3 2 2 2 2" xfId="16234"/>
    <cellStyle name="Обычный 7 2 8 3 2 2 3" xfId="16235"/>
    <cellStyle name="Обычный 7 2 8 3 2 3" xfId="7681"/>
    <cellStyle name="Обычный 7 2 8 3 2 3 2" xfId="16236"/>
    <cellStyle name="Обычный 7 2 8 3 2 4" xfId="16237"/>
    <cellStyle name="Обычный 7 2 8 3 3" xfId="3591"/>
    <cellStyle name="Обычный 7 2 8 3 3 2" xfId="8709"/>
    <cellStyle name="Обычный 7 2 8 3 3 2 2" xfId="16238"/>
    <cellStyle name="Обычный 7 2 8 3 3 3" xfId="16239"/>
    <cellStyle name="Обычный 7 2 8 3 4" xfId="6653"/>
    <cellStyle name="Обычный 7 2 8 3 4 2" xfId="16240"/>
    <cellStyle name="Обычный 7 2 8 3 5" xfId="16241"/>
    <cellStyle name="Обычный 7 2 8 4" xfId="1133"/>
    <cellStyle name="Обычный 7 2 8 4 2" xfId="2252"/>
    <cellStyle name="Обычный 7 2 8 4 2 2" xfId="4790"/>
    <cellStyle name="Обычный 7 2 8 4 2 2 2" xfId="9908"/>
    <cellStyle name="Обычный 7 2 8 4 2 2 2 2" xfId="16242"/>
    <cellStyle name="Обычный 7 2 8 4 2 2 3" xfId="16243"/>
    <cellStyle name="Обычный 7 2 8 4 2 3" xfId="7852"/>
    <cellStyle name="Обычный 7 2 8 4 2 3 2" xfId="16244"/>
    <cellStyle name="Обычный 7 2 8 4 2 4" xfId="16245"/>
    <cellStyle name="Обычный 7 2 8 4 3" xfId="3762"/>
    <cellStyle name="Обычный 7 2 8 4 3 2" xfId="8880"/>
    <cellStyle name="Обычный 7 2 8 4 3 2 2" xfId="16246"/>
    <cellStyle name="Обычный 7 2 8 4 3 3" xfId="16247"/>
    <cellStyle name="Обычный 7 2 8 4 4" xfId="6824"/>
    <cellStyle name="Обычный 7 2 8 4 4 2" xfId="16248"/>
    <cellStyle name="Обычный 7 2 8 4 5" xfId="16249"/>
    <cellStyle name="Обычный 7 2 8 5" xfId="1314"/>
    <cellStyle name="Обычный 7 2 8 5 2" xfId="2423"/>
    <cellStyle name="Обычный 7 2 8 5 2 2" xfId="4961"/>
    <cellStyle name="Обычный 7 2 8 5 2 2 2" xfId="10079"/>
    <cellStyle name="Обычный 7 2 8 5 2 2 2 2" xfId="16250"/>
    <cellStyle name="Обычный 7 2 8 5 2 2 3" xfId="16251"/>
    <cellStyle name="Обычный 7 2 8 5 2 3" xfId="8023"/>
    <cellStyle name="Обычный 7 2 8 5 2 3 2" xfId="16252"/>
    <cellStyle name="Обычный 7 2 8 5 2 4" xfId="16253"/>
    <cellStyle name="Обычный 7 2 8 5 3" xfId="3933"/>
    <cellStyle name="Обычный 7 2 8 5 3 2" xfId="9051"/>
    <cellStyle name="Обычный 7 2 8 5 3 2 2" xfId="16254"/>
    <cellStyle name="Обычный 7 2 8 5 3 3" xfId="16255"/>
    <cellStyle name="Обычный 7 2 8 5 4" xfId="6995"/>
    <cellStyle name="Обычный 7 2 8 5 4 2" xfId="16256"/>
    <cellStyle name="Обычный 7 2 8 5 5" xfId="16257"/>
    <cellStyle name="Обычный 7 2 8 6" xfId="1488"/>
    <cellStyle name="Обычный 7 2 8 6 2" xfId="2594"/>
    <cellStyle name="Обычный 7 2 8 6 2 2" xfId="5132"/>
    <cellStyle name="Обычный 7 2 8 6 2 2 2" xfId="10250"/>
    <cellStyle name="Обычный 7 2 8 6 2 2 2 2" xfId="16258"/>
    <cellStyle name="Обычный 7 2 8 6 2 2 3" xfId="16259"/>
    <cellStyle name="Обычный 7 2 8 6 2 3" xfId="8194"/>
    <cellStyle name="Обычный 7 2 8 6 2 3 2" xfId="16260"/>
    <cellStyle name="Обычный 7 2 8 6 2 4" xfId="16261"/>
    <cellStyle name="Обычный 7 2 8 6 3" xfId="4104"/>
    <cellStyle name="Обычный 7 2 8 6 3 2" xfId="9222"/>
    <cellStyle name="Обычный 7 2 8 6 3 2 2" xfId="16262"/>
    <cellStyle name="Обычный 7 2 8 6 3 3" xfId="16263"/>
    <cellStyle name="Обычный 7 2 8 6 4" xfId="7166"/>
    <cellStyle name="Обычный 7 2 8 6 4 2" xfId="16264"/>
    <cellStyle name="Обычный 7 2 8 6 5" xfId="16265"/>
    <cellStyle name="Обычный 7 2 8 7" xfId="1659"/>
    <cellStyle name="Обычный 7 2 8 7 2" xfId="2765"/>
    <cellStyle name="Обычный 7 2 8 7 2 2" xfId="5303"/>
    <cellStyle name="Обычный 7 2 8 7 2 2 2" xfId="10421"/>
    <cellStyle name="Обычный 7 2 8 7 2 2 2 2" xfId="16266"/>
    <cellStyle name="Обычный 7 2 8 7 2 2 3" xfId="16267"/>
    <cellStyle name="Обычный 7 2 8 7 2 3" xfId="8365"/>
    <cellStyle name="Обычный 7 2 8 7 2 3 2" xfId="16268"/>
    <cellStyle name="Обычный 7 2 8 7 2 4" xfId="16269"/>
    <cellStyle name="Обычный 7 2 8 7 3" xfId="4275"/>
    <cellStyle name="Обычный 7 2 8 7 3 2" xfId="9393"/>
    <cellStyle name="Обычный 7 2 8 7 3 2 2" xfId="16270"/>
    <cellStyle name="Обычный 7 2 8 7 3 3" xfId="16271"/>
    <cellStyle name="Обычный 7 2 8 7 4" xfId="7337"/>
    <cellStyle name="Обычный 7 2 8 7 4 2" xfId="16272"/>
    <cellStyle name="Обычный 7 2 8 7 5" xfId="16273"/>
    <cellStyle name="Обычный 7 2 8 8" xfId="3077"/>
    <cellStyle name="Обычный 7 2 9" xfId="16274"/>
    <cellStyle name="Обычный 7 3" xfId="408"/>
    <cellStyle name="Обычный 7 4" xfId="409"/>
    <cellStyle name="Обычный 7 4 2" xfId="776"/>
    <cellStyle name="Обычный 7 4 3" xfId="3078"/>
    <cellStyle name="Обычный 7 5" xfId="410"/>
    <cellStyle name="Обычный 7 6" xfId="16275"/>
    <cellStyle name="Обычный 8" xfId="411"/>
    <cellStyle name="Обычный 9" xfId="412"/>
    <cellStyle name="Обычный 9 2" xfId="413"/>
    <cellStyle name="Обычный 9 2 2" xfId="414"/>
    <cellStyle name="Обычный 9 2 2 2" xfId="415"/>
    <cellStyle name="Обычный 9 2 2 2 2" xfId="416"/>
    <cellStyle name="Обычный 9 2 2 2 2 2" xfId="777"/>
    <cellStyle name="Обычный 9 2 2 2 2 2 2" xfId="1904"/>
    <cellStyle name="Обычный 9 2 2 2 2 2 2 2" xfId="4447"/>
    <cellStyle name="Обычный 9 2 2 2 2 2 2 2 2" xfId="9565"/>
    <cellStyle name="Обычный 9 2 2 2 2 2 2 2 2 2" xfId="16276"/>
    <cellStyle name="Обычный 9 2 2 2 2 2 2 2 3" xfId="16277"/>
    <cellStyle name="Обычный 9 2 2 2 2 2 2 3" xfId="7509"/>
    <cellStyle name="Обычный 9 2 2 2 2 2 2 3 2" xfId="16278"/>
    <cellStyle name="Обычный 9 2 2 2 2 2 2 4" xfId="16279"/>
    <cellStyle name="Обычный 9 2 2 2 2 2 3" xfId="3419"/>
    <cellStyle name="Обычный 9 2 2 2 2 2 3 2" xfId="8537"/>
    <cellStyle name="Обычный 9 2 2 2 2 2 3 2 2" xfId="16280"/>
    <cellStyle name="Обычный 9 2 2 2 2 2 3 3" xfId="16281"/>
    <cellStyle name="Обычный 9 2 2 2 2 2 4" xfId="6481"/>
    <cellStyle name="Обычный 9 2 2 2 2 2 4 2" xfId="16282"/>
    <cellStyle name="Обычный 9 2 2 2 2 2 5" xfId="16283"/>
    <cellStyle name="Обычный 9 2 2 2 2 3" xfId="963"/>
    <cellStyle name="Обычный 9 2 2 2 2 3 2" xfId="2082"/>
    <cellStyle name="Обычный 9 2 2 2 2 3 2 2" xfId="4620"/>
    <cellStyle name="Обычный 9 2 2 2 2 3 2 2 2" xfId="9738"/>
    <cellStyle name="Обычный 9 2 2 2 2 3 2 2 2 2" xfId="16284"/>
    <cellStyle name="Обычный 9 2 2 2 2 3 2 2 3" xfId="16285"/>
    <cellStyle name="Обычный 9 2 2 2 2 3 2 3" xfId="7682"/>
    <cellStyle name="Обычный 9 2 2 2 2 3 2 3 2" xfId="16286"/>
    <cellStyle name="Обычный 9 2 2 2 2 3 2 4" xfId="16287"/>
    <cellStyle name="Обычный 9 2 2 2 2 3 3" xfId="3592"/>
    <cellStyle name="Обычный 9 2 2 2 2 3 3 2" xfId="8710"/>
    <cellStyle name="Обычный 9 2 2 2 2 3 3 2 2" xfId="16288"/>
    <cellStyle name="Обычный 9 2 2 2 2 3 3 3" xfId="16289"/>
    <cellStyle name="Обычный 9 2 2 2 2 3 4" xfId="6654"/>
    <cellStyle name="Обычный 9 2 2 2 2 3 4 2" xfId="16290"/>
    <cellStyle name="Обычный 9 2 2 2 2 3 5" xfId="16291"/>
    <cellStyle name="Обычный 9 2 2 2 2 4" xfId="1134"/>
    <cellStyle name="Обычный 9 2 2 2 2 4 2" xfId="2253"/>
    <cellStyle name="Обычный 9 2 2 2 2 4 2 2" xfId="4791"/>
    <cellStyle name="Обычный 9 2 2 2 2 4 2 2 2" xfId="9909"/>
    <cellStyle name="Обычный 9 2 2 2 2 4 2 2 2 2" xfId="16292"/>
    <cellStyle name="Обычный 9 2 2 2 2 4 2 2 3" xfId="16293"/>
    <cellStyle name="Обычный 9 2 2 2 2 4 2 3" xfId="7853"/>
    <cellStyle name="Обычный 9 2 2 2 2 4 2 3 2" xfId="16294"/>
    <cellStyle name="Обычный 9 2 2 2 2 4 2 4" xfId="16295"/>
    <cellStyle name="Обычный 9 2 2 2 2 4 3" xfId="3763"/>
    <cellStyle name="Обычный 9 2 2 2 2 4 3 2" xfId="8881"/>
    <cellStyle name="Обычный 9 2 2 2 2 4 3 2 2" xfId="16296"/>
    <cellStyle name="Обычный 9 2 2 2 2 4 3 3" xfId="16297"/>
    <cellStyle name="Обычный 9 2 2 2 2 4 4" xfId="6825"/>
    <cellStyle name="Обычный 9 2 2 2 2 4 4 2" xfId="16298"/>
    <cellStyle name="Обычный 9 2 2 2 2 4 5" xfId="16299"/>
    <cellStyle name="Обычный 9 2 2 2 2 5" xfId="1315"/>
    <cellStyle name="Обычный 9 2 2 2 2 5 2" xfId="2424"/>
    <cellStyle name="Обычный 9 2 2 2 2 5 2 2" xfId="4962"/>
    <cellStyle name="Обычный 9 2 2 2 2 5 2 2 2" xfId="10080"/>
    <cellStyle name="Обычный 9 2 2 2 2 5 2 2 2 2" xfId="16300"/>
    <cellStyle name="Обычный 9 2 2 2 2 5 2 2 3" xfId="16301"/>
    <cellStyle name="Обычный 9 2 2 2 2 5 2 3" xfId="8024"/>
    <cellStyle name="Обычный 9 2 2 2 2 5 2 3 2" xfId="16302"/>
    <cellStyle name="Обычный 9 2 2 2 2 5 2 4" xfId="16303"/>
    <cellStyle name="Обычный 9 2 2 2 2 5 3" xfId="3934"/>
    <cellStyle name="Обычный 9 2 2 2 2 5 3 2" xfId="9052"/>
    <cellStyle name="Обычный 9 2 2 2 2 5 3 2 2" xfId="16304"/>
    <cellStyle name="Обычный 9 2 2 2 2 5 3 3" xfId="16305"/>
    <cellStyle name="Обычный 9 2 2 2 2 5 4" xfId="6996"/>
    <cellStyle name="Обычный 9 2 2 2 2 5 4 2" xfId="16306"/>
    <cellStyle name="Обычный 9 2 2 2 2 5 5" xfId="16307"/>
    <cellStyle name="Обычный 9 2 2 2 2 6" xfId="1489"/>
    <cellStyle name="Обычный 9 2 2 2 2 6 2" xfId="2595"/>
    <cellStyle name="Обычный 9 2 2 2 2 6 2 2" xfId="5133"/>
    <cellStyle name="Обычный 9 2 2 2 2 6 2 2 2" xfId="10251"/>
    <cellStyle name="Обычный 9 2 2 2 2 6 2 2 2 2" xfId="16308"/>
    <cellStyle name="Обычный 9 2 2 2 2 6 2 2 3" xfId="16309"/>
    <cellStyle name="Обычный 9 2 2 2 2 6 2 3" xfId="8195"/>
    <cellStyle name="Обычный 9 2 2 2 2 6 2 3 2" xfId="16310"/>
    <cellStyle name="Обычный 9 2 2 2 2 6 2 4" xfId="16311"/>
    <cellStyle name="Обычный 9 2 2 2 2 6 3" xfId="4105"/>
    <cellStyle name="Обычный 9 2 2 2 2 6 3 2" xfId="9223"/>
    <cellStyle name="Обычный 9 2 2 2 2 6 3 2 2" xfId="16312"/>
    <cellStyle name="Обычный 9 2 2 2 2 6 3 3" xfId="16313"/>
    <cellStyle name="Обычный 9 2 2 2 2 6 4" xfId="7167"/>
    <cellStyle name="Обычный 9 2 2 2 2 6 4 2" xfId="16314"/>
    <cellStyle name="Обычный 9 2 2 2 2 6 5" xfId="16315"/>
    <cellStyle name="Обычный 9 2 2 2 2 7" xfId="1660"/>
    <cellStyle name="Обычный 9 2 2 2 2 7 2" xfId="2766"/>
    <cellStyle name="Обычный 9 2 2 2 2 7 2 2" xfId="5304"/>
    <cellStyle name="Обычный 9 2 2 2 2 7 2 2 2" xfId="10422"/>
    <cellStyle name="Обычный 9 2 2 2 2 7 2 2 2 2" xfId="16316"/>
    <cellStyle name="Обычный 9 2 2 2 2 7 2 2 3" xfId="16317"/>
    <cellStyle name="Обычный 9 2 2 2 2 7 2 3" xfId="8366"/>
    <cellStyle name="Обычный 9 2 2 2 2 7 2 3 2" xfId="16318"/>
    <cellStyle name="Обычный 9 2 2 2 2 7 2 4" xfId="16319"/>
    <cellStyle name="Обычный 9 2 2 2 2 7 3" xfId="4276"/>
    <cellStyle name="Обычный 9 2 2 2 2 7 3 2" xfId="9394"/>
    <cellStyle name="Обычный 9 2 2 2 2 7 3 2 2" xfId="16320"/>
    <cellStyle name="Обычный 9 2 2 2 2 7 3 3" xfId="16321"/>
    <cellStyle name="Обычный 9 2 2 2 2 7 4" xfId="7338"/>
    <cellStyle name="Обычный 9 2 2 2 2 7 4 2" xfId="16322"/>
    <cellStyle name="Обычный 9 2 2 2 2 7 5" xfId="16323"/>
    <cellStyle name="Обычный 9 2 2 2 2 8" xfId="3079"/>
    <cellStyle name="Обычный 9 2 2 3" xfId="417"/>
    <cellStyle name="Обычный 9 2 2 3 2" xfId="418"/>
    <cellStyle name="Обычный 9 2 2 3 2 2" xfId="778"/>
    <cellStyle name="Обычный 9 2 2 3 2 2 2" xfId="1905"/>
    <cellStyle name="Обычный 9 2 2 3 2 2 2 2" xfId="4448"/>
    <cellStyle name="Обычный 9 2 2 3 2 2 2 2 2" xfId="9566"/>
    <cellStyle name="Обычный 9 2 2 3 2 2 2 2 2 2" xfId="16324"/>
    <cellStyle name="Обычный 9 2 2 3 2 2 2 2 3" xfId="16325"/>
    <cellStyle name="Обычный 9 2 2 3 2 2 2 3" xfId="7510"/>
    <cellStyle name="Обычный 9 2 2 3 2 2 2 3 2" xfId="16326"/>
    <cellStyle name="Обычный 9 2 2 3 2 2 2 4" xfId="16327"/>
    <cellStyle name="Обычный 9 2 2 3 2 2 3" xfId="3420"/>
    <cellStyle name="Обычный 9 2 2 3 2 2 3 2" xfId="8538"/>
    <cellStyle name="Обычный 9 2 2 3 2 2 3 2 2" xfId="16328"/>
    <cellStyle name="Обычный 9 2 2 3 2 2 3 3" xfId="16329"/>
    <cellStyle name="Обычный 9 2 2 3 2 2 4" xfId="6482"/>
    <cellStyle name="Обычный 9 2 2 3 2 2 4 2" xfId="16330"/>
    <cellStyle name="Обычный 9 2 2 3 2 2 5" xfId="16331"/>
    <cellStyle name="Обычный 9 2 2 3 2 3" xfId="964"/>
    <cellStyle name="Обычный 9 2 2 3 2 3 2" xfId="2083"/>
    <cellStyle name="Обычный 9 2 2 3 2 3 2 2" xfId="4621"/>
    <cellStyle name="Обычный 9 2 2 3 2 3 2 2 2" xfId="9739"/>
    <cellStyle name="Обычный 9 2 2 3 2 3 2 2 2 2" xfId="16332"/>
    <cellStyle name="Обычный 9 2 2 3 2 3 2 2 3" xfId="16333"/>
    <cellStyle name="Обычный 9 2 2 3 2 3 2 3" xfId="7683"/>
    <cellStyle name="Обычный 9 2 2 3 2 3 2 3 2" xfId="16334"/>
    <cellStyle name="Обычный 9 2 2 3 2 3 2 4" xfId="16335"/>
    <cellStyle name="Обычный 9 2 2 3 2 3 3" xfId="3593"/>
    <cellStyle name="Обычный 9 2 2 3 2 3 3 2" xfId="8711"/>
    <cellStyle name="Обычный 9 2 2 3 2 3 3 2 2" xfId="16336"/>
    <cellStyle name="Обычный 9 2 2 3 2 3 3 3" xfId="16337"/>
    <cellStyle name="Обычный 9 2 2 3 2 3 4" xfId="6655"/>
    <cellStyle name="Обычный 9 2 2 3 2 3 4 2" xfId="16338"/>
    <cellStyle name="Обычный 9 2 2 3 2 3 5" xfId="16339"/>
    <cellStyle name="Обычный 9 2 2 3 2 4" xfId="1135"/>
    <cellStyle name="Обычный 9 2 2 3 2 4 2" xfId="2254"/>
    <cellStyle name="Обычный 9 2 2 3 2 4 2 2" xfId="4792"/>
    <cellStyle name="Обычный 9 2 2 3 2 4 2 2 2" xfId="9910"/>
    <cellStyle name="Обычный 9 2 2 3 2 4 2 2 2 2" xfId="16340"/>
    <cellStyle name="Обычный 9 2 2 3 2 4 2 2 3" xfId="16341"/>
    <cellStyle name="Обычный 9 2 2 3 2 4 2 3" xfId="7854"/>
    <cellStyle name="Обычный 9 2 2 3 2 4 2 3 2" xfId="16342"/>
    <cellStyle name="Обычный 9 2 2 3 2 4 2 4" xfId="16343"/>
    <cellStyle name="Обычный 9 2 2 3 2 4 3" xfId="3764"/>
    <cellStyle name="Обычный 9 2 2 3 2 4 3 2" xfId="8882"/>
    <cellStyle name="Обычный 9 2 2 3 2 4 3 2 2" xfId="16344"/>
    <cellStyle name="Обычный 9 2 2 3 2 4 3 3" xfId="16345"/>
    <cellStyle name="Обычный 9 2 2 3 2 4 4" xfId="6826"/>
    <cellStyle name="Обычный 9 2 2 3 2 4 4 2" xfId="16346"/>
    <cellStyle name="Обычный 9 2 2 3 2 4 5" xfId="16347"/>
    <cellStyle name="Обычный 9 2 2 3 2 5" xfId="1316"/>
    <cellStyle name="Обычный 9 2 2 3 2 5 2" xfId="2425"/>
    <cellStyle name="Обычный 9 2 2 3 2 5 2 2" xfId="4963"/>
    <cellStyle name="Обычный 9 2 2 3 2 5 2 2 2" xfId="10081"/>
    <cellStyle name="Обычный 9 2 2 3 2 5 2 2 2 2" xfId="16348"/>
    <cellStyle name="Обычный 9 2 2 3 2 5 2 2 3" xfId="16349"/>
    <cellStyle name="Обычный 9 2 2 3 2 5 2 3" xfId="8025"/>
    <cellStyle name="Обычный 9 2 2 3 2 5 2 3 2" xfId="16350"/>
    <cellStyle name="Обычный 9 2 2 3 2 5 2 4" xfId="16351"/>
    <cellStyle name="Обычный 9 2 2 3 2 5 3" xfId="3935"/>
    <cellStyle name="Обычный 9 2 2 3 2 5 3 2" xfId="9053"/>
    <cellStyle name="Обычный 9 2 2 3 2 5 3 2 2" xfId="16352"/>
    <cellStyle name="Обычный 9 2 2 3 2 5 3 3" xfId="16353"/>
    <cellStyle name="Обычный 9 2 2 3 2 5 4" xfId="6997"/>
    <cellStyle name="Обычный 9 2 2 3 2 5 4 2" xfId="16354"/>
    <cellStyle name="Обычный 9 2 2 3 2 5 5" xfId="16355"/>
    <cellStyle name="Обычный 9 2 2 3 2 6" xfId="1490"/>
    <cellStyle name="Обычный 9 2 2 3 2 6 2" xfId="2596"/>
    <cellStyle name="Обычный 9 2 2 3 2 6 2 2" xfId="5134"/>
    <cellStyle name="Обычный 9 2 2 3 2 6 2 2 2" xfId="10252"/>
    <cellStyle name="Обычный 9 2 2 3 2 6 2 2 2 2" xfId="16356"/>
    <cellStyle name="Обычный 9 2 2 3 2 6 2 2 3" xfId="16357"/>
    <cellStyle name="Обычный 9 2 2 3 2 6 2 3" xfId="8196"/>
    <cellStyle name="Обычный 9 2 2 3 2 6 2 3 2" xfId="16358"/>
    <cellStyle name="Обычный 9 2 2 3 2 6 2 4" xfId="16359"/>
    <cellStyle name="Обычный 9 2 2 3 2 6 3" xfId="4106"/>
    <cellStyle name="Обычный 9 2 2 3 2 6 3 2" xfId="9224"/>
    <cellStyle name="Обычный 9 2 2 3 2 6 3 2 2" xfId="16360"/>
    <cellStyle name="Обычный 9 2 2 3 2 6 3 3" xfId="16361"/>
    <cellStyle name="Обычный 9 2 2 3 2 6 4" xfId="7168"/>
    <cellStyle name="Обычный 9 2 2 3 2 6 4 2" xfId="16362"/>
    <cellStyle name="Обычный 9 2 2 3 2 6 5" xfId="16363"/>
    <cellStyle name="Обычный 9 2 2 3 2 7" xfId="1661"/>
    <cellStyle name="Обычный 9 2 2 3 2 7 2" xfId="2767"/>
    <cellStyle name="Обычный 9 2 2 3 2 7 2 2" xfId="5305"/>
    <cellStyle name="Обычный 9 2 2 3 2 7 2 2 2" xfId="10423"/>
    <cellStyle name="Обычный 9 2 2 3 2 7 2 2 2 2" xfId="16364"/>
    <cellStyle name="Обычный 9 2 2 3 2 7 2 2 3" xfId="16365"/>
    <cellStyle name="Обычный 9 2 2 3 2 7 2 3" xfId="8367"/>
    <cellStyle name="Обычный 9 2 2 3 2 7 2 3 2" xfId="16366"/>
    <cellStyle name="Обычный 9 2 2 3 2 7 2 4" xfId="16367"/>
    <cellStyle name="Обычный 9 2 2 3 2 7 3" xfId="4277"/>
    <cellStyle name="Обычный 9 2 2 3 2 7 3 2" xfId="9395"/>
    <cellStyle name="Обычный 9 2 2 3 2 7 3 2 2" xfId="16368"/>
    <cellStyle name="Обычный 9 2 2 3 2 7 3 3" xfId="16369"/>
    <cellStyle name="Обычный 9 2 2 3 2 7 4" xfId="7339"/>
    <cellStyle name="Обычный 9 2 2 3 2 7 4 2" xfId="16370"/>
    <cellStyle name="Обычный 9 2 2 3 2 7 5" xfId="16371"/>
    <cellStyle name="Обычный 9 2 2 3 2 8" xfId="3080"/>
    <cellStyle name="Обычный 9 2 2 4" xfId="419"/>
    <cellStyle name="Обычный 9 2 2 4 2" xfId="420"/>
    <cellStyle name="Обычный 9 2 2 4 2 2" xfId="779"/>
    <cellStyle name="Обычный 9 2 2 4 2 2 2" xfId="1906"/>
    <cellStyle name="Обычный 9 2 2 4 2 2 2 2" xfId="4449"/>
    <cellStyle name="Обычный 9 2 2 4 2 2 2 2 2" xfId="9567"/>
    <cellStyle name="Обычный 9 2 2 4 2 2 2 2 2 2" xfId="16372"/>
    <cellStyle name="Обычный 9 2 2 4 2 2 2 2 3" xfId="16373"/>
    <cellStyle name="Обычный 9 2 2 4 2 2 2 3" xfId="7511"/>
    <cellStyle name="Обычный 9 2 2 4 2 2 2 3 2" xfId="16374"/>
    <cellStyle name="Обычный 9 2 2 4 2 2 2 4" xfId="16375"/>
    <cellStyle name="Обычный 9 2 2 4 2 2 3" xfId="3421"/>
    <cellStyle name="Обычный 9 2 2 4 2 2 3 2" xfId="8539"/>
    <cellStyle name="Обычный 9 2 2 4 2 2 3 2 2" xfId="16376"/>
    <cellStyle name="Обычный 9 2 2 4 2 2 3 3" xfId="16377"/>
    <cellStyle name="Обычный 9 2 2 4 2 2 4" xfId="6483"/>
    <cellStyle name="Обычный 9 2 2 4 2 2 4 2" xfId="16378"/>
    <cellStyle name="Обычный 9 2 2 4 2 2 5" xfId="16379"/>
    <cellStyle name="Обычный 9 2 2 4 2 3" xfId="965"/>
    <cellStyle name="Обычный 9 2 2 4 2 3 2" xfId="2084"/>
    <cellStyle name="Обычный 9 2 2 4 2 3 2 2" xfId="4622"/>
    <cellStyle name="Обычный 9 2 2 4 2 3 2 2 2" xfId="9740"/>
    <cellStyle name="Обычный 9 2 2 4 2 3 2 2 2 2" xfId="16380"/>
    <cellStyle name="Обычный 9 2 2 4 2 3 2 2 3" xfId="16381"/>
    <cellStyle name="Обычный 9 2 2 4 2 3 2 3" xfId="7684"/>
    <cellStyle name="Обычный 9 2 2 4 2 3 2 3 2" xfId="16382"/>
    <cellStyle name="Обычный 9 2 2 4 2 3 2 4" xfId="16383"/>
    <cellStyle name="Обычный 9 2 2 4 2 3 3" xfId="3594"/>
    <cellStyle name="Обычный 9 2 2 4 2 3 3 2" xfId="8712"/>
    <cellStyle name="Обычный 9 2 2 4 2 3 3 2 2" xfId="16384"/>
    <cellStyle name="Обычный 9 2 2 4 2 3 3 3" xfId="16385"/>
    <cellStyle name="Обычный 9 2 2 4 2 3 4" xfId="6656"/>
    <cellStyle name="Обычный 9 2 2 4 2 3 4 2" xfId="16386"/>
    <cellStyle name="Обычный 9 2 2 4 2 3 5" xfId="16387"/>
    <cellStyle name="Обычный 9 2 2 4 2 4" xfId="1136"/>
    <cellStyle name="Обычный 9 2 2 4 2 4 2" xfId="2255"/>
    <cellStyle name="Обычный 9 2 2 4 2 4 2 2" xfId="4793"/>
    <cellStyle name="Обычный 9 2 2 4 2 4 2 2 2" xfId="9911"/>
    <cellStyle name="Обычный 9 2 2 4 2 4 2 2 2 2" xfId="16388"/>
    <cellStyle name="Обычный 9 2 2 4 2 4 2 2 3" xfId="16389"/>
    <cellStyle name="Обычный 9 2 2 4 2 4 2 3" xfId="7855"/>
    <cellStyle name="Обычный 9 2 2 4 2 4 2 3 2" xfId="16390"/>
    <cellStyle name="Обычный 9 2 2 4 2 4 2 4" xfId="16391"/>
    <cellStyle name="Обычный 9 2 2 4 2 4 3" xfId="3765"/>
    <cellStyle name="Обычный 9 2 2 4 2 4 3 2" xfId="8883"/>
    <cellStyle name="Обычный 9 2 2 4 2 4 3 2 2" xfId="16392"/>
    <cellStyle name="Обычный 9 2 2 4 2 4 3 3" xfId="16393"/>
    <cellStyle name="Обычный 9 2 2 4 2 4 4" xfId="6827"/>
    <cellStyle name="Обычный 9 2 2 4 2 4 4 2" xfId="16394"/>
    <cellStyle name="Обычный 9 2 2 4 2 4 5" xfId="16395"/>
    <cellStyle name="Обычный 9 2 2 4 2 5" xfId="1317"/>
    <cellStyle name="Обычный 9 2 2 4 2 5 2" xfId="2426"/>
    <cellStyle name="Обычный 9 2 2 4 2 5 2 2" xfId="4964"/>
    <cellStyle name="Обычный 9 2 2 4 2 5 2 2 2" xfId="10082"/>
    <cellStyle name="Обычный 9 2 2 4 2 5 2 2 2 2" xfId="16396"/>
    <cellStyle name="Обычный 9 2 2 4 2 5 2 2 3" xfId="16397"/>
    <cellStyle name="Обычный 9 2 2 4 2 5 2 3" xfId="8026"/>
    <cellStyle name="Обычный 9 2 2 4 2 5 2 3 2" xfId="16398"/>
    <cellStyle name="Обычный 9 2 2 4 2 5 2 4" xfId="16399"/>
    <cellStyle name="Обычный 9 2 2 4 2 5 3" xfId="3936"/>
    <cellStyle name="Обычный 9 2 2 4 2 5 3 2" xfId="9054"/>
    <cellStyle name="Обычный 9 2 2 4 2 5 3 2 2" xfId="16400"/>
    <cellStyle name="Обычный 9 2 2 4 2 5 3 3" xfId="16401"/>
    <cellStyle name="Обычный 9 2 2 4 2 5 4" xfId="6998"/>
    <cellStyle name="Обычный 9 2 2 4 2 5 4 2" xfId="16402"/>
    <cellStyle name="Обычный 9 2 2 4 2 5 5" xfId="16403"/>
    <cellStyle name="Обычный 9 2 2 4 2 6" xfId="1491"/>
    <cellStyle name="Обычный 9 2 2 4 2 6 2" xfId="2597"/>
    <cellStyle name="Обычный 9 2 2 4 2 6 2 2" xfId="5135"/>
    <cellStyle name="Обычный 9 2 2 4 2 6 2 2 2" xfId="10253"/>
    <cellStyle name="Обычный 9 2 2 4 2 6 2 2 2 2" xfId="16404"/>
    <cellStyle name="Обычный 9 2 2 4 2 6 2 2 3" xfId="16405"/>
    <cellStyle name="Обычный 9 2 2 4 2 6 2 3" xfId="8197"/>
    <cellStyle name="Обычный 9 2 2 4 2 6 2 3 2" xfId="16406"/>
    <cellStyle name="Обычный 9 2 2 4 2 6 2 4" xfId="16407"/>
    <cellStyle name="Обычный 9 2 2 4 2 6 3" xfId="4107"/>
    <cellStyle name="Обычный 9 2 2 4 2 6 3 2" xfId="9225"/>
    <cellStyle name="Обычный 9 2 2 4 2 6 3 2 2" xfId="16408"/>
    <cellStyle name="Обычный 9 2 2 4 2 6 3 3" xfId="16409"/>
    <cellStyle name="Обычный 9 2 2 4 2 6 4" xfId="7169"/>
    <cellStyle name="Обычный 9 2 2 4 2 6 4 2" xfId="16410"/>
    <cellStyle name="Обычный 9 2 2 4 2 6 5" xfId="16411"/>
    <cellStyle name="Обычный 9 2 2 4 2 7" xfId="1662"/>
    <cellStyle name="Обычный 9 2 2 4 2 7 2" xfId="2768"/>
    <cellStyle name="Обычный 9 2 2 4 2 7 2 2" xfId="5306"/>
    <cellStyle name="Обычный 9 2 2 4 2 7 2 2 2" xfId="10424"/>
    <cellStyle name="Обычный 9 2 2 4 2 7 2 2 2 2" xfId="16412"/>
    <cellStyle name="Обычный 9 2 2 4 2 7 2 2 3" xfId="16413"/>
    <cellStyle name="Обычный 9 2 2 4 2 7 2 3" xfId="8368"/>
    <cellStyle name="Обычный 9 2 2 4 2 7 2 3 2" xfId="16414"/>
    <cellStyle name="Обычный 9 2 2 4 2 7 2 4" xfId="16415"/>
    <cellStyle name="Обычный 9 2 2 4 2 7 3" xfId="4278"/>
    <cellStyle name="Обычный 9 2 2 4 2 7 3 2" xfId="9396"/>
    <cellStyle name="Обычный 9 2 2 4 2 7 3 2 2" xfId="16416"/>
    <cellStyle name="Обычный 9 2 2 4 2 7 3 3" xfId="16417"/>
    <cellStyle name="Обычный 9 2 2 4 2 7 4" xfId="7340"/>
    <cellStyle name="Обычный 9 2 2 4 2 7 4 2" xfId="16418"/>
    <cellStyle name="Обычный 9 2 2 4 2 7 5" xfId="16419"/>
    <cellStyle name="Обычный 9 2 2 4 2 8" xfId="3081"/>
    <cellStyle name="Обычный 9 2 2 5" xfId="421"/>
    <cellStyle name="Обычный 9 2 2 5 2" xfId="780"/>
    <cellStyle name="Обычный 9 2 2 5 2 2" xfId="1907"/>
    <cellStyle name="Обычный 9 2 2 5 2 2 2" xfId="4450"/>
    <cellStyle name="Обычный 9 2 2 5 2 2 2 2" xfId="9568"/>
    <cellStyle name="Обычный 9 2 2 5 2 2 2 2 2" xfId="16420"/>
    <cellStyle name="Обычный 9 2 2 5 2 2 2 3" xfId="16421"/>
    <cellStyle name="Обычный 9 2 2 5 2 2 3" xfId="7512"/>
    <cellStyle name="Обычный 9 2 2 5 2 2 3 2" xfId="16422"/>
    <cellStyle name="Обычный 9 2 2 5 2 2 4" xfId="16423"/>
    <cellStyle name="Обычный 9 2 2 5 2 3" xfId="3422"/>
    <cellStyle name="Обычный 9 2 2 5 2 3 2" xfId="8540"/>
    <cellStyle name="Обычный 9 2 2 5 2 3 2 2" xfId="16424"/>
    <cellStyle name="Обычный 9 2 2 5 2 3 3" xfId="16425"/>
    <cellStyle name="Обычный 9 2 2 5 2 4" xfId="6484"/>
    <cellStyle name="Обычный 9 2 2 5 2 4 2" xfId="16426"/>
    <cellStyle name="Обычный 9 2 2 5 2 5" xfId="16427"/>
    <cellStyle name="Обычный 9 2 2 5 3" xfId="966"/>
    <cellStyle name="Обычный 9 2 2 5 3 2" xfId="2085"/>
    <cellStyle name="Обычный 9 2 2 5 3 2 2" xfId="4623"/>
    <cellStyle name="Обычный 9 2 2 5 3 2 2 2" xfId="9741"/>
    <cellStyle name="Обычный 9 2 2 5 3 2 2 2 2" xfId="16428"/>
    <cellStyle name="Обычный 9 2 2 5 3 2 2 3" xfId="16429"/>
    <cellStyle name="Обычный 9 2 2 5 3 2 3" xfId="7685"/>
    <cellStyle name="Обычный 9 2 2 5 3 2 3 2" xfId="16430"/>
    <cellStyle name="Обычный 9 2 2 5 3 2 4" xfId="16431"/>
    <cellStyle name="Обычный 9 2 2 5 3 3" xfId="3595"/>
    <cellStyle name="Обычный 9 2 2 5 3 3 2" xfId="8713"/>
    <cellStyle name="Обычный 9 2 2 5 3 3 2 2" xfId="16432"/>
    <cellStyle name="Обычный 9 2 2 5 3 3 3" xfId="16433"/>
    <cellStyle name="Обычный 9 2 2 5 3 4" xfId="6657"/>
    <cellStyle name="Обычный 9 2 2 5 3 4 2" xfId="16434"/>
    <cellStyle name="Обычный 9 2 2 5 3 5" xfId="16435"/>
    <cellStyle name="Обычный 9 2 2 5 4" xfId="1137"/>
    <cellStyle name="Обычный 9 2 2 5 4 2" xfId="2256"/>
    <cellStyle name="Обычный 9 2 2 5 4 2 2" xfId="4794"/>
    <cellStyle name="Обычный 9 2 2 5 4 2 2 2" xfId="9912"/>
    <cellStyle name="Обычный 9 2 2 5 4 2 2 2 2" xfId="16436"/>
    <cellStyle name="Обычный 9 2 2 5 4 2 2 3" xfId="16437"/>
    <cellStyle name="Обычный 9 2 2 5 4 2 3" xfId="7856"/>
    <cellStyle name="Обычный 9 2 2 5 4 2 3 2" xfId="16438"/>
    <cellStyle name="Обычный 9 2 2 5 4 2 4" xfId="16439"/>
    <cellStyle name="Обычный 9 2 2 5 4 3" xfId="3766"/>
    <cellStyle name="Обычный 9 2 2 5 4 3 2" xfId="8884"/>
    <cellStyle name="Обычный 9 2 2 5 4 3 2 2" xfId="16440"/>
    <cellStyle name="Обычный 9 2 2 5 4 3 3" xfId="16441"/>
    <cellStyle name="Обычный 9 2 2 5 4 4" xfId="6828"/>
    <cellStyle name="Обычный 9 2 2 5 4 4 2" xfId="16442"/>
    <cellStyle name="Обычный 9 2 2 5 4 5" xfId="16443"/>
    <cellStyle name="Обычный 9 2 2 5 5" xfId="1318"/>
    <cellStyle name="Обычный 9 2 2 5 5 2" xfId="2427"/>
    <cellStyle name="Обычный 9 2 2 5 5 2 2" xfId="4965"/>
    <cellStyle name="Обычный 9 2 2 5 5 2 2 2" xfId="10083"/>
    <cellStyle name="Обычный 9 2 2 5 5 2 2 2 2" xfId="16444"/>
    <cellStyle name="Обычный 9 2 2 5 5 2 2 3" xfId="16445"/>
    <cellStyle name="Обычный 9 2 2 5 5 2 3" xfId="8027"/>
    <cellStyle name="Обычный 9 2 2 5 5 2 3 2" xfId="16446"/>
    <cellStyle name="Обычный 9 2 2 5 5 2 4" xfId="16447"/>
    <cellStyle name="Обычный 9 2 2 5 5 3" xfId="3937"/>
    <cellStyle name="Обычный 9 2 2 5 5 3 2" xfId="9055"/>
    <cellStyle name="Обычный 9 2 2 5 5 3 2 2" xfId="16448"/>
    <cellStyle name="Обычный 9 2 2 5 5 3 3" xfId="16449"/>
    <cellStyle name="Обычный 9 2 2 5 5 4" xfId="6999"/>
    <cellStyle name="Обычный 9 2 2 5 5 4 2" xfId="16450"/>
    <cellStyle name="Обычный 9 2 2 5 5 5" xfId="16451"/>
    <cellStyle name="Обычный 9 2 2 5 6" xfId="1492"/>
    <cellStyle name="Обычный 9 2 2 5 6 2" xfId="2598"/>
    <cellStyle name="Обычный 9 2 2 5 6 2 2" xfId="5136"/>
    <cellStyle name="Обычный 9 2 2 5 6 2 2 2" xfId="10254"/>
    <cellStyle name="Обычный 9 2 2 5 6 2 2 2 2" xfId="16452"/>
    <cellStyle name="Обычный 9 2 2 5 6 2 2 3" xfId="16453"/>
    <cellStyle name="Обычный 9 2 2 5 6 2 3" xfId="8198"/>
    <cellStyle name="Обычный 9 2 2 5 6 2 3 2" xfId="16454"/>
    <cellStyle name="Обычный 9 2 2 5 6 2 4" xfId="16455"/>
    <cellStyle name="Обычный 9 2 2 5 6 3" xfId="4108"/>
    <cellStyle name="Обычный 9 2 2 5 6 3 2" xfId="9226"/>
    <cellStyle name="Обычный 9 2 2 5 6 3 2 2" xfId="16456"/>
    <cellStyle name="Обычный 9 2 2 5 6 3 3" xfId="16457"/>
    <cellStyle name="Обычный 9 2 2 5 6 4" xfId="7170"/>
    <cellStyle name="Обычный 9 2 2 5 6 4 2" xfId="16458"/>
    <cellStyle name="Обычный 9 2 2 5 6 5" xfId="16459"/>
    <cellStyle name="Обычный 9 2 2 5 7" xfId="1663"/>
    <cellStyle name="Обычный 9 2 2 5 7 2" xfId="2769"/>
    <cellStyle name="Обычный 9 2 2 5 7 2 2" xfId="5307"/>
    <cellStyle name="Обычный 9 2 2 5 7 2 2 2" xfId="10425"/>
    <cellStyle name="Обычный 9 2 2 5 7 2 2 2 2" xfId="16460"/>
    <cellStyle name="Обычный 9 2 2 5 7 2 2 3" xfId="16461"/>
    <cellStyle name="Обычный 9 2 2 5 7 2 3" xfId="8369"/>
    <cellStyle name="Обычный 9 2 2 5 7 2 3 2" xfId="16462"/>
    <cellStyle name="Обычный 9 2 2 5 7 2 4" xfId="16463"/>
    <cellStyle name="Обычный 9 2 2 5 7 3" xfId="4279"/>
    <cellStyle name="Обычный 9 2 2 5 7 3 2" xfId="9397"/>
    <cellStyle name="Обычный 9 2 2 5 7 3 2 2" xfId="16464"/>
    <cellStyle name="Обычный 9 2 2 5 7 3 3" xfId="16465"/>
    <cellStyle name="Обычный 9 2 2 5 7 4" xfId="7341"/>
    <cellStyle name="Обычный 9 2 2 5 7 4 2" xfId="16466"/>
    <cellStyle name="Обычный 9 2 2 5 7 5" xfId="16467"/>
    <cellStyle name="Обычный 9 2 2 5 8" xfId="3082"/>
    <cellStyle name="Обычный 9 2 3" xfId="422"/>
    <cellStyle name="Обычный 9 2 3 2" xfId="423"/>
    <cellStyle name="Обычный 9 2 3 2 2" xfId="781"/>
    <cellStyle name="Обычный 9 2 3 2 2 2" xfId="1908"/>
    <cellStyle name="Обычный 9 2 3 2 2 2 2" xfId="4451"/>
    <cellStyle name="Обычный 9 2 3 2 2 2 2 2" xfId="9569"/>
    <cellStyle name="Обычный 9 2 3 2 2 2 2 2 2" xfId="16468"/>
    <cellStyle name="Обычный 9 2 3 2 2 2 2 3" xfId="16469"/>
    <cellStyle name="Обычный 9 2 3 2 2 2 3" xfId="7513"/>
    <cellStyle name="Обычный 9 2 3 2 2 2 3 2" xfId="16470"/>
    <cellStyle name="Обычный 9 2 3 2 2 2 4" xfId="16471"/>
    <cellStyle name="Обычный 9 2 3 2 2 3" xfId="3423"/>
    <cellStyle name="Обычный 9 2 3 2 2 3 2" xfId="8541"/>
    <cellStyle name="Обычный 9 2 3 2 2 3 2 2" xfId="16472"/>
    <cellStyle name="Обычный 9 2 3 2 2 3 3" xfId="16473"/>
    <cellStyle name="Обычный 9 2 3 2 2 4" xfId="6485"/>
    <cellStyle name="Обычный 9 2 3 2 2 4 2" xfId="16474"/>
    <cellStyle name="Обычный 9 2 3 2 2 5" xfId="16475"/>
    <cellStyle name="Обычный 9 2 3 2 3" xfId="967"/>
    <cellStyle name="Обычный 9 2 3 2 3 2" xfId="2086"/>
    <cellStyle name="Обычный 9 2 3 2 3 2 2" xfId="4624"/>
    <cellStyle name="Обычный 9 2 3 2 3 2 2 2" xfId="9742"/>
    <cellStyle name="Обычный 9 2 3 2 3 2 2 2 2" xfId="16476"/>
    <cellStyle name="Обычный 9 2 3 2 3 2 2 3" xfId="16477"/>
    <cellStyle name="Обычный 9 2 3 2 3 2 3" xfId="7686"/>
    <cellStyle name="Обычный 9 2 3 2 3 2 3 2" xfId="16478"/>
    <cellStyle name="Обычный 9 2 3 2 3 2 4" xfId="16479"/>
    <cellStyle name="Обычный 9 2 3 2 3 3" xfId="3596"/>
    <cellStyle name="Обычный 9 2 3 2 3 3 2" xfId="8714"/>
    <cellStyle name="Обычный 9 2 3 2 3 3 2 2" xfId="16480"/>
    <cellStyle name="Обычный 9 2 3 2 3 3 3" xfId="16481"/>
    <cellStyle name="Обычный 9 2 3 2 3 4" xfId="6658"/>
    <cellStyle name="Обычный 9 2 3 2 3 4 2" xfId="16482"/>
    <cellStyle name="Обычный 9 2 3 2 3 5" xfId="16483"/>
    <cellStyle name="Обычный 9 2 3 2 4" xfId="1138"/>
    <cellStyle name="Обычный 9 2 3 2 4 2" xfId="2257"/>
    <cellStyle name="Обычный 9 2 3 2 4 2 2" xfId="4795"/>
    <cellStyle name="Обычный 9 2 3 2 4 2 2 2" xfId="9913"/>
    <cellStyle name="Обычный 9 2 3 2 4 2 2 2 2" xfId="16484"/>
    <cellStyle name="Обычный 9 2 3 2 4 2 2 3" xfId="16485"/>
    <cellStyle name="Обычный 9 2 3 2 4 2 3" xfId="7857"/>
    <cellStyle name="Обычный 9 2 3 2 4 2 3 2" xfId="16486"/>
    <cellStyle name="Обычный 9 2 3 2 4 2 4" xfId="16487"/>
    <cellStyle name="Обычный 9 2 3 2 4 3" xfId="3767"/>
    <cellStyle name="Обычный 9 2 3 2 4 3 2" xfId="8885"/>
    <cellStyle name="Обычный 9 2 3 2 4 3 2 2" xfId="16488"/>
    <cellStyle name="Обычный 9 2 3 2 4 3 3" xfId="16489"/>
    <cellStyle name="Обычный 9 2 3 2 4 4" xfId="6829"/>
    <cellStyle name="Обычный 9 2 3 2 4 4 2" xfId="16490"/>
    <cellStyle name="Обычный 9 2 3 2 4 5" xfId="16491"/>
    <cellStyle name="Обычный 9 2 3 2 5" xfId="1319"/>
    <cellStyle name="Обычный 9 2 3 2 5 2" xfId="2428"/>
    <cellStyle name="Обычный 9 2 3 2 5 2 2" xfId="4966"/>
    <cellStyle name="Обычный 9 2 3 2 5 2 2 2" xfId="10084"/>
    <cellStyle name="Обычный 9 2 3 2 5 2 2 2 2" xfId="16492"/>
    <cellStyle name="Обычный 9 2 3 2 5 2 2 3" xfId="16493"/>
    <cellStyle name="Обычный 9 2 3 2 5 2 3" xfId="8028"/>
    <cellStyle name="Обычный 9 2 3 2 5 2 3 2" xfId="16494"/>
    <cellStyle name="Обычный 9 2 3 2 5 2 4" xfId="16495"/>
    <cellStyle name="Обычный 9 2 3 2 5 3" xfId="3938"/>
    <cellStyle name="Обычный 9 2 3 2 5 3 2" xfId="9056"/>
    <cellStyle name="Обычный 9 2 3 2 5 3 2 2" xfId="16496"/>
    <cellStyle name="Обычный 9 2 3 2 5 3 3" xfId="16497"/>
    <cellStyle name="Обычный 9 2 3 2 5 4" xfId="7000"/>
    <cellStyle name="Обычный 9 2 3 2 5 4 2" xfId="16498"/>
    <cellStyle name="Обычный 9 2 3 2 5 5" xfId="16499"/>
    <cellStyle name="Обычный 9 2 3 2 6" xfId="1493"/>
    <cellStyle name="Обычный 9 2 3 2 6 2" xfId="2599"/>
    <cellStyle name="Обычный 9 2 3 2 6 2 2" xfId="5137"/>
    <cellStyle name="Обычный 9 2 3 2 6 2 2 2" xfId="10255"/>
    <cellStyle name="Обычный 9 2 3 2 6 2 2 2 2" xfId="16500"/>
    <cellStyle name="Обычный 9 2 3 2 6 2 2 3" xfId="16501"/>
    <cellStyle name="Обычный 9 2 3 2 6 2 3" xfId="8199"/>
    <cellStyle name="Обычный 9 2 3 2 6 2 3 2" xfId="16502"/>
    <cellStyle name="Обычный 9 2 3 2 6 2 4" xfId="16503"/>
    <cellStyle name="Обычный 9 2 3 2 6 3" xfId="4109"/>
    <cellStyle name="Обычный 9 2 3 2 6 3 2" xfId="9227"/>
    <cellStyle name="Обычный 9 2 3 2 6 3 2 2" xfId="16504"/>
    <cellStyle name="Обычный 9 2 3 2 6 3 3" xfId="16505"/>
    <cellStyle name="Обычный 9 2 3 2 6 4" xfId="7171"/>
    <cellStyle name="Обычный 9 2 3 2 6 4 2" xfId="16506"/>
    <cellStyle name="Обычный 9 2 3 2 6 5" xfId="16507"/>
    <cellStyle name="Обычный 9 2 3 2 7" xfId="1664"/>
    <cellStyle name="Обычный 9 2 3 2 7 2" xfId="2770"/>
    <cellStyle name="Обычный 9 2 3 2 7 2 2" xfId="5308"/>
    <cellStyle name="Обычный 9 2 3 2 7 2 2 2" xfId="10426"/>
    <cellStyle name="Обычный 9 2 3 2 7 2 2 2 2" xfId="16508"/>
    <cellStyle name="Обычный 9 2 3 2 7 2 2 3" xfId="16509"/>
    <cellStyle name="Обычный 9 2 3 2 7 2 3" xfId="8370"/>
    <cellStyle name="Обычный 9 2 3 2 7 2 3 2" xfId="16510"/>
    <cellStyle name="Обычный 9 2 3 2 7 2 4" xfId="16511"/>
    <cellStyle name="Обычный 9 2 3 2 7 3" xfId="4280"/>
    <cellStyle name="Обычный 9 2 3 2 7 3 2" xfId="9398"/>
    <cellStyle name="Обычный 9 2 3 2 7 3 2 2" xfId="16512"/>
    <cellStyle name="Обычный 9 2 3 2 7 3 3" xfId="16513"/>
    <cellStyle name="Обычный 9 2 3 2 7 4" xfId="7342"/>
    <cellStyle name="Обычный 9 2 3 2 7 4 2" xfId="16514"/>
    <cellStyle name="Обычный 9 2 3 2 7 5" xfId="16515"/>
    <cellStyle name="Обычный 9 2 3 2 8" xfId="3083"/>
    <cellStyle name="Обычный 9 2 4" xfId="424"/>
    <cellStyle name="Обычный 9 2 4 2" xfId="425"/>
    <cellStyle name="Обычный 9 2 4 2 2" xfId="782"/>
    <cellStyle name="Обычный 9 2 4 2 2 2" xfId="1909"/>
    <cellStyle name="Обычный 9 2 4 2 2 2 2" xfId="4452"/>
    <cellStyle name="Обычный 9 2 4 2 2 2 2 2" xfId="9570"/>
    <cellStyle name="Обычный 9 2 4 2 2 2 2 2 2" xfId="16516"/>
    <cellStyle name="Обычный 9 2 4 2 2 2 2 3" xfId="16517"/>
    <cellStyle name="Обычный 9 2 4 2 2 2 3" xfId="7514"/>
    <cellStyle name="Обычный 9 2 4 2 2 2 3 2" xfId="16518"/>
    <cellStyle name="Обычный 9 2 4 2 2 2 4" xfId="16519"/>
    <cellStyle name="Обычный 9 2 4 2 2 3" xfId="3424"/>
    <cellStyle name="Обычный 9 2 4 2 2 3 2" xfId="8542"/>
    <cellStyle name="Обычный 9 2 4 2 2 3 2 2" xfId="16520"/>
    <cellStyle name="Обычный 9 2 4 2 2 3 3" xfId="16521"/>
    <cellStyle name="Обычный 9 2 4 2 2 4" xfId="6486"/>
    <cellStyle name="Обычный 9 2 4 2 2 4 2" xfId="16522"/>
    <cellStyle name="Обычный 9 2 4 2 2 5" xfId="16523"/>
    <cellStyle name="Обычный 9 2 4 2 3" xfId="968"/>
    <cellStyle name="Обычный 9 2 4 2 3 2" xfId="2087"/>
    <cellStyle name="Обычный 9 2 4 2 3 2 2" xfId="4625"/>
    <cellStyle name="Обычный 9 2 4 2 3 2 2 2" xfId="9743"/>
    <cellStyle name="Обычный 9 2 4 2 3 2 2 2 2" xfId="16524"/>
    <cellStyle name="Обычный 9 2 4 2 3 2 2 3" xfId="16525"/>
    <cellStyle name="Обычный 9 2 4 2 3 2 3" xfId="7687"/>
    <cellStyle name="Обычный 9 2 4 2 3 2 3 2" xfId="16526"/>
    <cellStyle name="Обычный 9 2 4 2 3 2 4" xfId="16527"/>
    <cellStyle name="Обычный 9 2 4 2 3 3" xfId="3597"/>
    <cellStyle name="Обычный 9 2 4 2 3 3 2" xfId="8715"/>
    <cellStyle name="Обычный 9 2 4 2 3 3 2 2" xfId="16528"/>
    <cellStyle name="Обычный 9 2 4 2 3 3 3" xfId="16529"/>
    <cellStyle name="Обычный 9 2 4 2 3 4" xfId="6659"/>
    <cellStyle name="Обычный 9 2 4 2 3 4 2" xfId="16530"/>
    <cellStyle name="Обычный 9 2 4 2 3 5" xfId="16531"/>
    <cellStyle name="Обычный 9 2 4 2 4" xfId="1139"/>
    <cellStyle name="Обычный 9 2 4 2 4 2" xfId="2258"/>
    <cellStyle name="Обычный 9 2 4 2 4 2 2" xfId="4796"/>
    <cellStyle name="Обычный 9 2 4 2 4 2 2 2" xfId="9914"/>
    <cellStyle name="Обычный 9 2 4 2 4 2 2 2 2" xfId="16532"/>
    <cellStyle name="Обычный 9 2 4 2 4 2 2 3" xfId="16533"/>
    <cellStyle name="Обычный 9 2 4 2 4 2 3" xfId="7858"/>
    <cellStyle name="Обычный 9 2 4 2 4 2 3 2" xfId="16534"/>
    <cellStyle name="Обычный 9 2 4 2 4 2 4" xfId="16535"/>
    <cellStyle name="Обычный 9 2 4 2 4 3" xfId="3768"/>
    <cellStyle name="Обычный 9 2 4 2 4 3 2" xfId="8886"/>
    <cellStyle name="Обычный 9 2 4 2 4 3 2 2" xfId="16536"/>
    <cellStyle name="Обычный 9 2 4 2 4 3 3" xfId="16537"/>
    <cellStyle name="Обычный 9 2 4 2 4 4" xfId="6830"/>
    <cellStyle name="Обычный 9 2 4 2 4 4 2" xfId="16538"/>
    <cellStyle name="Обычный 9 2 4 2 4 5" xfId="16539"/>
    <cellStyle name="Обычный 9 2 4 2 5" xfId="1320"/>
    <cellStyle name="Обычный 9 2 4 2 5 2" xfId="2429"/>
    <cellStyle name="Обычный 9 2 4 2 5 2 2" xfId="4967"/>
    <cellStyle name="Обычный 9 2 4 2 5 2 2 2" xfId="10085"/>
    <cellStyle name="Обычный 9 2 4 2 5 2 2 2 2" xfId="16540"/>
    <cellStyle name="Обычный 9 2 4 2 5 2 2 3" xfId="16541"/>
    <cellStyle name="Обычный 9 2 4 2 5 2 3" xfId="8029"/>
    <cellStyle name="Обычный 9 2 4 2 5 2 3 2" xfId="16542"/>
    <cellStyle name="Обычный 9 2 4 2 5 2 4" xfId="16543"/>
    <cellStyle name="Обычный 9 2 4 2 5 3" xfId="3939"/>
    <cellStyle name="Обычный 9 2 4 2 5 3 2" xfId="9057"/>
    <cellStyle name="Обычный 9 2 4 2 5 3 2 2" xfId="16544"/>
    <cellStyle name="Обычный 9 2 4 2 5 3 3" xfId="16545"/>
    <cellStyle name="Обычный 9 2 4 2 5 4" xfId="7001"/>
    <cellStyle name="Обычный 9 2 4 2 5 4 2" xfId="16546"/>
    <cellStyle name="Обычный 9 2 4 2 5 5" xfId="16547"/>
    <cellStyle name="Обычный 9 2 4 2 6" xfId="1494"/>
    <cellStyle name="Обычный 9 2 4 2 6 2" xfId="2600"/>
    <cellStyle name="Обычный 9 2 4 2 6 2 2" xfId="5138"/>
    <cellStyle name="Обычный 9 2 4 2 6 2 2 2" xfId="10256"/>
    <cellStyle name="Обычный 9 2 4 2 6 2 2 2 2" xfId="16548"/>
    <cellStyle name="Обычный 9 2 4 2 6 2 2 3" xfId="16549"/>
    <cellStyle name="Обычный 9 2 4 2 6 2 3" xfId="8200"/>
    <cellStyle name="Обычный 9 2 4 2 6 2 3 2" xfId="16550"/>
    <cellStyle name="Обычный 9 2 4 2 6 2 4" xfId="16551"/>
    <cellStyle name="Обычный 9 2 4 2 6 3" xfId="4110"/>
    <cellStyle name="Обычный 9 2 4 2 6 3 2" xfId="9228"/>
    <cellStyle name="Обычный 9 2 4 2 6 3 2 2" xfId="16552"/>
    <cellStyle name="Обычный 9 2 4 2 6 3 3" xfId="16553"/>
    <cellStyle name="Обычный 9 2 4 2 6 4" xfId="7172"/>
    <cellStyle name="Обычный 9 2 4 2 6 4 2" xfId="16554"/>
    <cellStyle name="Обычный 9 2 4 2 6 5" xfId="16555"/>
    <cellStyle name="Обычный 9 2 4 2 7" xfId="1665"/>
    <cellStyle name="Обычный 9 2 4 2 7 2" xfId="2771"/>
    <cellStyle name="Обычный 9 2 4 2 7 2 2" xfId="5309"/>
    <cellStyle name="Обычный 9 2 4 2 7 2 2 2" xfId="10427"/>
    <cellStyle name="Обычный 9 2 4 2 7 2 2 2 2" xfId="16556"/>
    <cellStyle name="Обычный 9 2 4 2 7 2 2 3" xfId="16557"/>
    <cellStyle name="Обычный 9 2 4 2 7 2 3" xfId="8371"/>
    <cellStyle name="Обычный 9 2 4 2 7 2 3 2" xfId="16558"/>
    <cellStyle name="Обычный 9 2 4 2 7 2 4" xfId="16559"/>
    <cellStyle name="Обычный 9 2 4 2 7 3" xfId="4281"/>
    <cellStyle name="Обычный 9 2 4 2 7 3 2" xfId="9399"/>
    <cellStyle name="Обычный 9 2 4 2 7 3 2 2" xfId="16560"/>
    <cellStyle name="Обычный 9 2 4 2 7 3 3" xfId="16561"/>
    <cellStyle name="Обычный 9 2 4 2 7 4" xfId="7343"/>
    <cellStyle name="Обычный 9 2 4 2 7 4 2" xfId="16562"/>
    <cellStyle name="Обычный 9 2 4 2 7 5" xfId="16563"/>
    <cellStyle name="Обычный 9 2 4 2 8" xfId="3084"/>
    <cellStyle name="Обычный 9 2 5" xfId="426"/>
    <cellStyle name="Обычный 9 2 5 2" xfId="783"/>
    <cellStyle name="Обычный 9 2 5 2 2" xfId="1910"/>
    <cellStyle name="Обычный 9 2 5 2 2 2" xfId="4453"/>
    <cellStyle name="Обычный 9 2 5 2 2 2 2" xfId="9571"/>
    <cellStyle name="Обычный 9 2 5 2 2 2 2 2" xfId="16564"/>
    <cellStyle name="Обычный 9 2 5 2 2 2 3" xfId="16565"/>
    <cellStyle name="Обычный 9 2 5 2 2 3" xfId="7515"/>
    <cellStyle name="Обычный 9 2 5 2 2 3 2" xfId="16566"/>
    <cellStyle name="Обычный 9 2 5 2 2 4" xfId="16567"/>
    <cellStyle name="Обычный 9 2 5 2 3" xfId="3425"/>
    <cellStyle name="Обычный 9 2 5 2 3 2" xfId="8543"/>
    <cellStyle name="Обычный 9 2 5 2 3 2 2" xfId="16568"/>
    <cellStyle name="Обычный 9 2 5 2 3 3" xfId="16569"/>
    <cellStyle name="Обычный 9 2 5 2 4" xfId="6487"/>
    <cellStyle name="Обычный 9 2 5 2 4 2" xfId="16570"/>
    <cellStyle name="Обычный 9 2 5 2 5" xfId="16571"/>
    <cellStyle name="Обычный 9 2 5 3" xfId="969"/>
    <cellStyle name="Обычный 9 2 5 3 2" xfId="2088"/>
    <cellStyle name="Обычный 9 2 5 3 2 2" xfId="4626"/>
    <cellStyle name="Обычный 9 2 5 3 2 2 2" xfId="9744"/>
    <cellStyle name="Обычный 9 2 5 3 2 2 2 2" xfId="16572"/>
    <cellStyle name="Обычный 9 2 5 3 2 2 3" xfId="16573"/>
    <cellStyle name="Обычный 9 2 5 3 2 3" xfId="7688"/>
    <cellStyle name="Обычный 9 2 5 3 2 3 2" xfId="16574"/>
    <cellStyle name="Обычный 9 2 5 3 2 4" xfId="16575"/>
    <cellStyle name="Обычный 9 2 5 3 3" xfId="3598"/>
    <cellStyle name="Обычный 9 2 5 3 3 2" xfId="8716"/>
    <cellStyle name="Обычный 9 2 5 3 3 2 2" xfId="16576"/>
    <cellStyle name="Обычный 9 2 5 3 3 3" xfId="16577"/>
    <cellStyle name="Обычный 9 2 5 3 4" xfId="6660"/>
    <cellStyle name="Обычный 9 2 5 3 4 2" xfId="16578"/>
    <cellStyle name="Обычный 9 2 5 3 5" xfId="16579"/>
    <cellStyle name="Обычный 9 2 5 4" xfId="1140"/>
    <cellStyle name="Обычный 9 2 5 4 2" xfId="2259"/>
    <cellStyle name="Обычный 9 2 5 4 2 2" xfId="4797"/>
    <cellStyle name="Обычный 9 2 5 4 2 2 2" xfId="9915"/>
    <cellStyle name="Обычный 9 2 5 4 2 2 2 2" xfId="16580"/>
    <cellStyle name="Обычный 9 2 5 4 2 2 3" xfId="16581"/>
    <cellStyle name="Обычный 9 2 5 4 2 3" xfId="7859"/>
    <cellStyle name="Обычный 9 2 5 4 2 3 2" xfId="16582"/>
    <cellStyle name="Обычный 9 2 5 4 2 4" xfId="16583"/>
    <cellStyle name="Обычный 9 2 5 4 3" xfId="3769"/>
    <cellStyle name="Обычный 9 2 5 4 3 2" xfId="8887"/>
    <cellStyle name="Обычный 9 2 5 4 3 2 2" xfId="16584"/>
    <cellStyle name="Обычный 9 2 5 4 3 3" xfId="16585"/>
    <cellStyle name="Обычный 9 2 5 4 4" xfId="6831"/>
    <cellStyle name="Обычный 9 2 5 4 4 2" xfId="16586"/>
    <cellStyle name="Обычный 9 2 5 4 5" xfId="16587"/>
    <cellStyle name="Обычный 9 2 5 5" xfId="1321"/>
    <cellStyle name="Обычный 9 2 5 5 2" xfId="2430"/>
    <cellStyle name="Обычный 9 2 5 5 2 2" xfId="4968"/>
    <cellStyle name="Обычный 9 2 5 5 2 2 2" xfId="10086"/>
    <cellStyle name="Обычный 9 2 5 5 2 2 2 2" xfId="16588"/>
    <cellStyle name="Обычный 9 2 5 5 2 2 3" xfId="16589"/>
    <cellStyle name="Обычный 9 2 5 5 2 3" xfId="8030"/>
    <cellStyle name="Обычный 9 2 5 5 2 3 2" xfId="16590"/>
    <cellStyle name="Обычный 9 2 5 5 2 4" xfId="16591"/>
    <cellStyle name="Обычный 9 2 5 5 3" xfId="3940"/>
    <cellStyle name="Обычный 9 2 5 5 3 2" xfId="9058"/>
    <cellStyle name="Обычный 9 2 5 5 3 2 2" xfId="16592"/>
    <cellStyle name="Обычный 9 2 5 5 3 3" xfId="16593"/>
    <cellStyle name="Обычный 9 2 5 5 4" xfId="7002"/>
    <cellStyle name="Обычный 9 2 5 5 4 2" xfId="16594"/>
    <cellStyle name="Обычный 9 2 5 5 5" xfId="16595"/>
    <cellStyle name="Обычный 9 2 5 6" xfId="1495"/>
    <cellStyle name="Обычный 9 2 5 6 2" xfId="2601"/>
    <cellStyle name="Обычный 9 2 5 6 2 2" xfId="5139"/>
    <cellStyle name="Обычный 9 2 5 6 2 2 2" xfId="10257"/>
    <cellStyle name="Обычный 9 2 5 6 2 2 2 2" xfId="16596"/>
    <cellStyle name="Обычный 9 2 5 6 2 2 3" xfId="16597"/>
    <cellStyle name="Обычный 9 2 5 6 2 3" xfId="8201"/>
    <cellStyle name="Обычный 9 2 5 6 2 3 2" xfId="16598"/>
    <cellStyle name="Обычный 9 2 5 6 2 4" xfId="16599"/>
    <cellStyle name="Обычный 9 2 5 6 3" xfId="4111"/>
    <cellStyle name="Обычный 9 2 5 6 3 2" xfId="9229"/>
    <cellStyle name="Обычный 9 2 5 6 3 2 2" xfId="16600"/>
    <cellStyle name="Обычный 9 2 5 6 3 3" xfId="16601"/>
    <cellStyle name="Обычный 9 2 5 6 4" xfId="7173"/>
    <cellStyle name="Обычный 9 2 5 6 4 2" xfId="16602"/>
    <cellStyle name="Обычный 9 2 5 6 5" xfId="16603"/>
    <cellStyle name="Обычный 9 2 5 7" xfId="1666"/>
    <cellStyle name="Обычный 9 2 5 7 2" xfId="2772"/>
    <cellStyle name="Обычный 9 2 5 7 2 2" xfId="5310"/>
    <cellStyle name="Обычный 9 2 5 7 2 2 2" xfId="10428"/>
    <cellStyle name="Обычный 9 2 5 7 2 2 2 2" xfId="16604"/>
    <cellStyle name="Обычный 9 2 5 7 2 2 3" xfId="16605"/>
    <cellStyle name="Обычный 9 2 5 7 2 3" xfId="8372"/>
    <cellStyle name="Обычный 9 2 5 7 2 3 2" xfId="16606"/>
    <cellStyle name="Обычный 9 2 5 7 2 4" xfId="16607"/>
    <cellStyle name="Обычный 9 2 5 7 3" xfId="4282"/>
    <cellStyle name="Обычный 9 2 5 7 3 2" xfId="9400"/>
    <cellStyle name="Обычный 9 2 5 7 3 2 2" xfId="16608"/>
    <cellStyle name="Обычный 9 2 5 7 3 3" xfId="16609"/>
    <cellStyle name="Обычный 9 2 5 7 4" xfId="7344"/>
    <cellStyle name="Обычный 9 2 5 7 4 2" xfId="16610"/>
    <cellStyle name="Обычный 9 2 5 7 5" xfId="16611"/>
    <cellStyle name="Обычный 9 2 5 8" xfId="3085"/>
    <cellStyle name="Обычный 9 3" xfId="427"/>
    <cellStyle name="Обычный 9 3 2" xfId="428"/>
    <cellStyle name="Обычный 9 3 2 2" xfId="429"/>
    <cellStyle name="Обычный 9 3 2 2 2" xfId="784"/>
    <cellStyle name="Обычный 9 3 2 2 2 2" xfId="1911"/>
    <cellStyle name="Обычный 9 3 2 2 2 2 2" xfId="4454"/>
    <cellStyle name="Обычный 9 3 2 2 2 2 2 2" xfId="9572"/>
    <cellStyle name="Обычный 9 3 2 2 2 2 2 2 2" xfId="16612"/>
    <cellStyle name="Обычный 9 3 2 2 2 2 2 3" xfId="16613"/>
    <cellStyle name="Обычный 9 3 2 2 2 2 3" xfId="7516"/>
    <cellStyle name="Обычный 9 3 2 2 2 2 3 2" xfId="16614"/>
    <cellStyle name="Обычный 9 3 2 2 2 2 4" xfId="16615"/>
    <cellStyle name="Обычный 9 3 2 2 2 3" xfId="3426"/>
    <cellStyle name="Обычный 9 3 2 2 2 3 2" xfId="8544"/>
    <cellStyle name="Обычный 9 3 2 2 2 3 2 2" xfId="16616"/>
    <cellStyle name="Обычный 9 3 2 2 2 3 3" xfId="16617"/>
    <cellStyle name="Обычный 9 3 2 2 2 4" xfId="6488"/>
    <cellStyle name="Обычный 9 3 2 2 2 4 2" xfId="16618"/>
    <cellStyle name="Обычный 9 3 2 2 2 5" xfId="16619"/>
    <cellStyle name="Обычный 9 3 2 2 3" xfId="970"/>
    <cellStyle name="Обычный 9 3 2 2 3 2" xfId="2089"/>
    <cellStyle name="Обычный 9 3 2 2 3 2 2" xfId="4627"/>
    <cellStyle name="Обычный 9 3 2 2 3 2 2 2" xfId="9745"/>
    <cellStyle name="Обычный 9 3 2 2 3 2 2 2 2" xfId="16620"/>
    <cellStyle name="Обычный 9 3 2 2 3 2 2 3" xfId="16621"/>
    <cellStyle name="Обычный 9 3 2 2 3 2 3" xfId="7689"/>
    <cellStyle name="Обычный 9 3 2 2 3 2 3 2" xfId="16622"/>
    <cellStyle name="Обычный 9 3 2 2 3 2 4" xfId="16623"/>
    <cellStyle name="Обычный 9 3 2 2 3 3" xfId="3599"/>
    <cellStyle name="Обычный 9 3 2 2 3 3 2" xfId="8717"/>
    <cellStyle name="Обычный 9 3 2 2 3 3 2 2" xfId="16624"/>
    <cellStyle name="Обычный 9 3 2 2 3 3 3" xfId="16625"/>
    <cellStyle name="Обычный 9 3 2 2 3 4" xfId="6661"/>
    <cellStyle name="Обычный 9 3 2 2 3 4 2" xfId="16626"/>
    <cellStyle name="Обычный 9 3 2 2 3 5" xfId="16627"/>
    <cellStyle name="Обычный 9 3 2 2 4" xfId="1141"/>
    <cellStyle name="Обычный 9 3 2 2 4 2" xfId="2260"/>
    <cellStyle name="Обычный 9 3 2 2 4 2 2" xfId="4798"/>
    <cellStyle name="Обычный 9 3 2 2 4 2 2 2" xfId="9916"/>
    <cellStyle name="Обычный 9 3 2 2 4 2 2 2 2" xfId="16628"/>
    <cellStyle name="Обычный 9 3 2 2 4 2 2 3" xfId="16629"/>
    <cellStyle name="Обычный 9 3 2 2 4 2 3" xfId="7860"/>
    <cellStyle name="Обычный 9 3 2 2 4 2 3 2" xfId="16630"/>
    <cellStyle name="Обычный 9 3 2 2 4 2 4" xfId="16631"/>
    <cellStyle name="Обычный 9 3 2 2 4 3" xfId="3770"/>
    <cellStyle name="Обычный 9 3 2 2 4 3 2" xfId="8888"/>
    <cellStyle name="Обычный 9 3 2 2 4 3 2 2" xfId="16632"/>
    <cellStyle name="Обычный 9 3 2 2 4 3 3" xfId="16633"/>
    <cellStyle name="Обычный 9 3 2 2 4 4" xfId="6832"/>
    <cellStyle name="Обычный 9 3 2 2 4 4 2" xfId="16634"/>
    <cellStyle name="Обычный 9 3 2 2 4 5" xfId="16635"/>
    <cellStyle name="Обычный 9 3 2 2 5" xfId="1322"/>
    <cellStyle name="Обычный 9 3 2 2 5 2" xfId="2431"/>
    <cellStyle name="Обычный 9 3 2 2 5 2 2" xfId="4969"/>
    <cellStyle name="Обычный 9 3 2 2 5 2 2 2" xfId="10087"/>
    <cellStyle name="Обычный 9 3 2 2 5 2 2 2 2" xfId="16636"/>
    <cellStyle name="Обычный 9 3 2 2 5 2 2 3" xfId="16637"/>
    <cellStyle name="Обычный 9 3 2 2 5 2 3" xfId="8031"/>
    <cellStyle name="Обычный 9 3 2 2 5 2 3 2" xfId="16638"/>
    <cellStyle name="Обычный 9 3 2 2 5 2 4" xfId="16639"/>
    <cellStyle name="Обычный 9 3 2 2 5 3" xfId="3941"/>
    <cellStyle name="Обычный 9 3 2 2 5 3 2" xfId="9059"/>
    <cellStyle name="Обычный 9 3 2 2 5 3 2 2" xfId="16640"/>
    <cellStyle name="Обычный 9 3 2 2 5 3 3" xfId="16641"/>
    <cellStyle name="Обычный 9 3 2 2 5 4" xfId="7003"/>
    <cellStyle name="Обычный 9 3 2 2 5 4 2" xfId="16642"/>
    <cellStyle name="Обычный 9 3 2 2 5 5" xfId="16643"/>
    <cellStyle name="Обычный 9 3 2 2 6" xfId="1496"/>
    <cellStyle name="Обычный 9 3 2 2 6 2" xfId="2602"/>
    <cellStyle name="Обычный 9 3 2 2 6 2 2" xfId="5140"/>
    <cellStyle name="Обычный 9 3 2 2 6 2 2 2" xfId="10258"/>
    <cellStyle name="Обычный 9 3 2 2 6 2 2 2 2" xfId="16644"/>
    <cellStyle name="Обычный 9 3 2 2 6 2 2 3" xfId="16645"/>
    <cellStyle name="Обычный 9 3 2 2 6 2 3" xfId="8202"/>
    <cellStyle name="Обычный 9 3 2 2 6 2 3 2" xfId="16646"/>
    <cellStyle name="Обычный 9 3 2 2 6 2 4" xfId="16647"/>
    <cellStyle name="Обычный 9 3 2 2 6 3" xfId="4112"/>
    <cellStyle name="Обычный 9 3 2 2 6 3 2" xfId="9230"/>
    <cellStyle name="Обычный 9 3 2 2 6 3 2 2" xfId="16648"/>
    <cellStyle name="Обычный 9 3 2 2 6 3 3" xfId="16649"/>
    <cellStyle name="Обычный 9 3 2 2 6 4" xfId="7174"/>
    <cellStyle name="Обычный 9 3 2 2 6 4 2" xfId="16650"/>
    <cellStyle name="Обычный 9 3 2 2 6 5" xfId="16651"/>
    <cellStyle name="Обычный 9 3 2 2 7" xfId="1667"/>
    <cellStyle name="Обычный 9 3 2 2 7 2" xfId="2773"/>
    <cellStyle name="Обычный 9 3 2 2 7 2 2" xfId="5311"/>
    <cellStyle name="Обычный 9 3 2 2 7 2 2 2" xfId="10429"/>
    <cellStyle name="Обычный 9 3 2 2 7 2 2 2 2" xfId="16652"/>
    <cellStyle name="Обычный 9 3 2 2 7 2 2 3" xfId="16653"/>
    <cellStyle name="Обычный 9 3 2 2 7 2 3" xfId="8373"/>
    <cellStyle name="Обычный 9 3 2 2 7 2 3 2" xfId="16654"/>
    <cellStyle name="Обычный 9 3 2 2 7 2 4" xfId="16655"/>
    <cellStyle name="Обычный 9 3 2 2 7 3" xfId="4283"/>
    <cellStyle name="Обычный 9 3 2 2 7 3 2" xfId="9401"/>
    <cellStyle name="Обычный 9 3 2 2 7 3 2 2" xfId="16656"/>
    <cellStyle name="Обычный 9 3 2 2 7 3 3" xfId="16657"/>
    <cellStyle name="Обычный 9 3 2 2 7 4" xfId="7345"/>
    <cellStyle name="Обычный 9 3 2 2 7 4 2" xfId="16658"/>
    <cellStyle name="Обычный 9 3 2 2 7 5" xfId="16659"/>
    <cellStyle name="Обычный 9 3 2 2 8" xfId="3086"/>
    <cellStyle name="Обычный 9 3 3" xfId="430"/>
    <cellStyle name="Обычный 9 3 3 2" xfId="431"/>
    <cellStyle name="Обычный 9 3 3 2 2" xfId="785"/>
    <cellStyle name="Обычный 9 3 3 2 2 2" xfId="1912"/>
    <cellStyle name="Обычный 9 3 3 2 2 2 2" xfId="4455"/>
    <cellStyle name="Обычный 9 3 3 2 2 2 2 2" xfId="9573"/>
    <cellStyle name="Обычный 9 3 3 2 2 2 2 2 2" xfId="16660"/>
    <cellStyle name="Обычный 9 3 3 2 2 2 2 3" xfId="16661"/>
    <cellStyle name="Обычный 9 3 3 2 2 2 3" xfId="7517"/>
    <cellStyle name="Обычный 9 3 3 2 2 2 3 2" xfId="16662"/>
    <cellStyle name="Обычный 9 3 3 2 2 2 4" xfId="16663"/>
    <cellStyle name="Обычный 9 3 3 2 2 3" xfId="3427"/>
    <cellStyle name="Обычный 9 3 3 2 2 3 2" xfId="8545"/>
    <cellStyle name="Обычный 9 3 3 2 2 3 2 2" xfId="16664"/>
    <cellStyle name="Обычный 9 3 3 2 2 3 3" xfId="16665"/>
    <cellStyle name="Обычный 9 3 3 2 2 4" xfId="6489"/>
    <cellStyle name="Обычный 9 3 3 2 2 4 2" xfId="16666"/>
    <cellStyle name="Обычный 9 3 3 2 2 5" xfId="16667"/>
    <cellStyle name="Обычный 9 3 3 2 3" xfId="971"/>
    <cellStyle name="Обычный 9 3 3 2 3 2" xfId="2090"/>
    <cellStyle name="Обычный 9 3 3 2 3 2 2" xfId="4628"/>
    <cellStyle name="Обычный 9 3 3 2 3 2 2 2" xfId="9746"/>
    <cellStyle name="Обычный 9 3 3 2 3 2 2 2 2" xfId="16668"/>
    <cellStyle name="Обычный 9 3 3 2 3 2 2 3" xfId="16669"/>
    <cellStyle name="Обычный 9 3 3 2 3 2 3" xfId="7690"/>
    <cellStyle name="Обычный 9 3 3 2 3 2 3 2" xfId="16670"/>
    <cellStyle name="Обычный 9 3 3 2 3 2 4" xfId="16671"/>
    <cellStyle name="Обычный 9 3 3 2 3 3" xfId="3600"/>
    <cellStyle name="Обычный 9 3 3 2 3 3 2" xfId="8718"/>
    <cellStyle name="Обычный 9 3 3 2 3 3 2 2" xfId="16672"/>
    <cellStyle name="Обычный 9 3 3 2 3 3 3" xfId="16673"/>
    <cellStyle name="Обычный 9 3 3 2 3 4" xfId="6662"/>
    <cellStyle name="Обычный 9 3 3 2 3 4 2" xfId="16674"/>
    <cellStyle name="Обычный 9 3 3 2 3 5" xfId="16675"/>
    <cellStyle name="Обычный 9 3 3 2 4" xfId="1142"/>
    <cellStyle name="Обычный 9 3 3 2 4 2" xfId="2261"/>
    <cellStyle name="Обычный 9 3 3 2 4 2 2" xfId="4799"/>
    <cellStyle name="Обычный 9 3 3 2 4 2 2 2" xfId="9917"/>
    <cellStyle name="Обычный 9 3 3 2 4 2 2 2 2" xfId="16676"/>
    <cellStyle name="Обычный 9 3 3 2 4 2 2 3" xfId="16677"/>
    <cellStyle name="Обычный 9 3 3 2 4 2 3" xfId="7861"/>
    <cellStyle name="Обычный 9 3 3 2 4 2 3 2" xfId="16678"/>
    <cellStyle name="Обычный 9 3 3 2 4 2 4" xfId="16679"/>
    <cellStyle name="Обычный 9 3 3 2 4 3" xfId="3771"/>
    <cellStyle name="Обычный 9 3 3 2 4 3 2" xfId="8889"/>
    <cellStyle name="Обычный 9 3 3 2 4 3 2 2" xfId="16680"/>
    <cellStyle name="Обычный 9 3 3 2 4 3 3" xfId="16681"/>
    <cellStyle name="Обычный 9 3 3 2 4 4" xfId="6833"/>
    <cellStyle name="Обычный 9 3 3 2 4 4 2" xfId="16682"/>
    <cellStyle name="Обычный 9 3 3 2 4 5" xfId="16683"/>
    <cellStyle name="Обычный 9 3 3 2 5" xfId="1323"/>
    <cellStyle name="Обычный 9 3 3 2 5 2" xfId="2432"/>
    <cellStyle name="Обычный 9 3 3 2 5 2 2" xfId="4970"/>
    <cellStyle name="Обычный 9 3 3 2 5 2 2 2" xfId="10088"/>
    <cellStyle name="Обычный 9 3 3 2 5 2 2 2 2" xfId="16684"/>
    <cellStyle name="Обычный 9 3 3 2 5 2 2 3" xfId="16685"/>
    <cellStyle name="Обычный 9 3 3 2 5 2 3" xfId="8032"/>
    <cellStyle name="Обычный 9 3 3 2 5 2 3 2" xfId="16686"/>
    <cellStyle name="Обычный 9 3 3 2 5 2 4" xfId="16687"/>
    <cellStyle name="Обычный 9 3 3 2 5 3" xfId="3942"/>
    <cellStyle name="Обычный 9 3 3 2 5 3 2" xfId="9060"/>
    <cellStyle name="Обычный 9 3 3 2 5 3 2 2" xfId="16688"/>
    <cellStyle name="Обычный 9 3 3 2 5 3 3" xfId="16689"/>
    <cellStyle name="Обычный 9 3 3 2 5 4" xfId="7004"/>
    <cellStyle name="Обычный 9 3 3 2 5 4 2" xfId="16690"/>
    <cellStyle name="Обычный 9 3 3 2 5 5" xfId="16691"/>
    <cellStyle name="Обычный 9 3 3 2 6" xfId="1497"/>
    <cellStyle name="Обычный 9 3 3 2 6 2" xfId="2603"/>
    <cellStyle name="Обычный 9 3 3 2 6 2 2" xfId="5141"/>
    <cellStyle name="Обычный 9 3 3 2 6 2 2 2" xfId="10259"/>
    <cellStyle name="Обычный 9 3 3 2 6 2 2 2 2" xfId="16692"/>
    <cellStyle name="Обычный 9 3 3 2 6 2 2 3" xfId="16693"/>
    <cellStyle name="Обычный 9 3 3 2 6 2 3" xfId="8203"/>
    <cellStyle name="Обычный 9 3 3 2 6 2 3 2" xfId="16694"/>
    <cellStyle name="Обычный 9 3 3 2 6 2 4" xfId="16695"/>
    <cellStyle name="Обычный 9 3 3 2 6 3" xfId="4113"/>
    <cellStyle name="Обычный 9 3 3 2 6 3 2" xfId="9231"/>
    <cellStyle name="Обычный 9 3 3 2 6 3 2 2" xfId="16696"/>
    <cellStyle name="Обычный 9 3 3 2 6 3 3" xfId="16697"/>
    <cellStyle name="Обычный 9 3 3 2 6 4" xfId="7175"/>
    <cellStyle name="Обычный 9 3 3 2 6 4 2" xfId="16698"/>
    <cellStyle name="Обычный 9 3 3 2 6 5" xfId="16699"/>
    <cellStyle name="Обычный 9 3 3 2 7" xfId="1668"/>
    <cellStyle name="Обычный 9 3 3 2 7 2" xfId="2774"/>
    <cellStyle name="Обычный 9 3 3 2 7 2 2" xfId="5312"/>
    <cellStyle name="Обычный 9 3 3 2 7 2 2 2" xfId="10430"/>
    <cellStyle name="Обычный 9 3 3 2 7 2 2 2 2" xfId="16700"/>
    <cellStyle name="Обычный 9 3 3 2 7 2 2 3" xfId="16701"/>
    <cellStyle name="Обычный 9 3 3 2 7 2 3" xfId="8374"/>
    <cellStyle name="Обычный 9 3 3 2 7 2 3 2" xfId="16702"/>
    <cellStyle name="Обычный 9 3 3 2 7 2 4" xfId="16703"/>
    <cellStyle name="Обычный 9 3 3 2 7 3" xfId="4284"/>
    <cellStyle name="Обычный 9 3 3 2 7 3 2" xfId="9402"/>
    <cellStyle name="Обычный 9 3 3 2 7 3 2 2" xfId="16704"/>
    <cellStyle name="Обычный 9 3 3 2 7 3 3" xfId="16705"/>
    <cellStyle name="Обычный 9 3 3 2 7 4" xfId="7346"/>
    <cellStyle name="Обычный 9 3 3 2 7 4 2" xfId="16706"/>
    <cellStyle name="Обычный 9 3 3 2 7 5" xfId="16707"/>
    <cellStyle name="Обычный 9 3 3 2 8" xfId="3087"/>
    <cellStyle name="Обычный 9 3 4" xfId="432"/>
    <cellStyle name="Обычный 9 3 4 2" xfId="433"/>
    <cellStyle name="Обычный 9 3 4 2 2" xfId="786"/>
    <cellStyle name="Обычный 9 3 4 2 2 2" xfId="1913"/>
    <cellStyle name="Обычный 9 3 4 2 2 2 2" xfId="4456"/>
    <cellStyle name="Обычный 9 3 4 2 2 2 2 2" xfId="9574"/>
    <cellStyle name="Обычный 9 3 4 2 2 2 2 2 2" xfId="16708"/>
    <cellStyle name="Обычный 9 3 4 2 2 2 2 3" xfId="16709"/>
    <cellStyle name="Обычный 9 3 4 2 2 2 3" xfId="7518"/>
    <cellStyle name="Обычный 9 3 4 2 2 2 3 2" xfId="16710"/>
    <cellStyle name="Обычный 9 3 4 2 2 2 4" xfId="16711"/>
    <cellStyle name="Обычный 9 3 4 2 2 3" xfId="3428"/>
    <cellStyle name="Обычный 9 3 4 2 2 3 2" xfId="8546"/>
    <cellStyle name="Обычный 9 3 4 2 2 3 2 2" xfId="16712"/>
    <cellStyle name="Обычный 9 3 4 2 2 3 3" xfId="16713"/>
    <cellStyle name="Обычный 9 3 4 2 2 4" xfId="6490"/>
    <cellStyle name="Обычный 9 3 4 2 2 4 2" xfId="16714"/>
    <cellStyle name="Обычный 9 3 4 2 2 5" xfId="16715"/>
    <cellStyle name="Обычный 9 3 4 2 3" xfId="972"/>
    <cellStyle name="Обычный 9 3 4 2 3 2" xfId="2091"/>
    <cellStyle name="Обычный 9 3 4 2 3 2 2" xfId="4629"/>
    <cellStyle name="Обычный 9 3 4 2 3 2 2 2" xfId="9747"/>
    <cellStyle name="Обычный 9 3 4 2 3 2 2 2 2" xfId="16716"/>
    <cellStyle name="Обычный 9 3 4 2 3 2 2 3" xfId="16717"/>
    <cellStyle name="Обычный 9 3 4 2 3 2 3" xfId="7691"/>
    <cellStyle name="Обычный 9 3 4 2 3 2 3 2" xfId="16718"/>
    <cellStyle name="Обычный 9 3 4 2 3 2 4" xfId="16719"/>
    <cellStyle name="Обычный 9 3 4 2 3 3" xfId="3601"/>
    <cellStyle name="Обычный 9 3 4 2 3 3 2" xfId="8719"/>
    <cellStyle name="Обычный 9 3 4 2 3 3 2 2" xfId="16720"/>
    <cellStyle name="Обычный 9 3 4 2 3 3 3" xfId="16721"/>
    <cellStyle name="Обычный 9 3 4 2 3 4" xfId="6663"/>
    <cellStyle name="Обычный 9 3 4 2 3 4 2" xfId="16722"/>
    <cellStyle name="Обычный 9 3 4 2 3 5" xfId="16723"/>
    <cellStyle name="Обычный 9 3 4 2 4" xfId="1143"/>
    <cellStyle name="Обычный 9 3 4 2 4 2" xfId="2262"/>
    <cellStyle name="Обычный 9 3 4 2 4 2 2" xfId="4800"/>
    <cellStyle name="Обычный 9 3 4 2 4 2 2 2" xfId="9918"/>
    <cellStyle name="Обычный 9 3 4 2 4 2 2 2 2" xfId="16724"/>
    <cellStyle name="Обычный 9 3 4 2 4 2 2 3" xfId="16725"/>
    <cellStyle name="Обычный 9 3 4 2 4 2 3" xfId="7862"/>
    <cellStyle name="Обычный 9 3 4 2 4 2 3 2" xfId="16726"/>
    <cellStyle name="Обычный 9 3 4 2 4 2 4" xfId="16727"/>
    <cellStyle name="Обычный 9 3 4 2 4 3" xfId="3772"/>
    <cellStyle name="Обычный 9 3 4 2 4 3 2" xfId="8890"/>
    <cellStyle name="Обычный 9 3 4 2 4 3 2 2" xfId="16728"/>
    <cellStyle name="Обычный 9 3 4 2 4 3 3" xfId="16729"/>
    <cellStyle name="Обычный 9 3 4 2 4 4" xfId="6834"/>
    <cellStyle name="Обычный 9 3 4 2 4 4 2" xfId="16730"/>
    <cellStyle name="Обычный 9 3 4 2 4 5" xfId="16731"/>
    <cellStyle name="Обычный 9 3 4 2 5" xfId="1324"/>
    <cellStyle name="Обычный 9 3 4 2 5 2" xfId="2433"/>
    <cellStyle name="Обычный 9 3 4 2 5 2 2" xfId="4971"/>
    <cellStyle name="Обычный 9 3 4 2 5 2 2 2" xfId="10089"/>
    <cellStyle name="Обычный 9 3 4 2 5 2 2 2 2" xfId="16732"/>
    <cellStyle name="Обычный 9 3 4 2 5 2 2 3" xfId="16733"/>
    <cellStyle name="Обычный 9 3 4 2 5 2 3" xfId="8033"/>
    <cellStyle name="Обычный 9 3 4 2 5 2 3 2" xfId="16734"/>
    <cellStyle name="Обычный 9 3 4 2 5 2 4" xfId="16735"/>
    <cellStyle name="Обычный 9 3 4 2 5 3" xfId="3943"/>
    <cellStyle name="Обычный 9 3 4 2 5 3 2" xfId="9061"/>
    <cellStyle name="Обычный 9 3 4 2 5 3 2 2" xfId="16736"/>
    <cellStyle name="Обычный 9 3 4 2 5 3 3" xfId="16737"/>
    <cellStyle name="Обычный 9 3 4 2 5 4" xfId="7005"/>
    <cellStyle name="Обычный 9 3 4 2 5 4 2" xfId="16738"/>
    <cellStyle name="Обычный 9 3 4 2 5 5" xfId="16739"/>
    <cellStyle name="Обычный 9 3 4 2 6" xfId="1498"/>
    <cellStyle name="Обычный 9 3 4 2 6 2" xfId="2604"/>
    <cellStyle name="Обычный 9 3 4 2 6 2 2" xfId="5142"/>
    <cellStyle name="Обычный 9 3 4 2 6 2 2 2" xfId="10260"/>
    <cellStyle name="Обычный 9 3 4 2 6 2 2 2 2" xfId="16740"/>
    <cellStyle name="Обычный 9 3 4 2 6 2 2 3" xfId="16741"/>
    <cellStyle name="Обычный 9 3 4 2 6 2 3" xfId="8204"/>
    <cellStyle name="Обычный 9 3 4 2 6 2 3 2" xfId="16742"/>
    <cellStyle name="Обычный 9 3 4 2 6 2 4" xfId="16743"/>
    <cellStyle name="Обычный 9 3 4 2 6 3" xfId="4114"/>
    <cellStyle name="Обычный 9 3 4 2 6 3 2" xfId="9232"/>
    <cellStyle name="Обычный 9 3 4 2 6 3 2 2" xfId="16744"/>
    <cellStyle name="Обычный 9 3 4 2 6 3 3" xfId="16745"/>
    <cellStyle name="Обычный 9 3 4 2 6 4" xfId="7176"/>
    <cellStyle name="Обычный 9 3 4 2 6 4 2" xfId="16746"/>
    <cellStyle name="Обычный 9 3 4 2 6 5" xfId="16747"/>
    <cellStyle name="Обычный 9 3 4 2 7" xfId="1669"/>
    <cellStyle name="Обычный 9 3 4 2 7 2" xfId="2775"/>
    <cellStyle name="Обычный 9 3 4 2 7 2 2" xfId="5313"/>
    <cellStyle name="Обычный 9 3 4 2 7 2 2 2" xfId="10431"/>
    <cellStyle name="Обычный 9 3 4 2 7 2 2 2 2" xfId="16748"/>
    <cellStyle name="Обычный 9 3 4 2 7 2 2 3" xfId="16749"/>
    <cellStyle name="Обычный 9 3 4 2 7 2 3" xfId="8375"/>
    <cellStyle name="Обычный 9 3 4 2 7 2 3 2" xfId="16750"/>
    <cellStyle name="Обычный 9 3 4 2 7 2 4" xfId="16751"/>
    <cellStyle name="Обычный 9 3 4 2 7 3" xfId="4285"/>
    <cellStyle name="Обычный 9 3 4 2 7 3 2" xfId="9403"/>
    <cellStyle name="Обычный 9 3 4 2 7 3 2 2" xfId="16752"/>
    <cellStyle name="Обычный 9 3 4 2 7 3 3" xfId="16753"/>
    <cellStyle name="Обычный 9 3 4 2 7 4" xfId="7347"/>
    <cellStyle name="Обычный 9 3 4 2 7 4 2" xfId="16754"/>
    <cellStyle name="Обычный 9 3 4 2 7 5" xfId="16755"/>
    <cellStyle name="Обычный 9 3 4 2 8" xfId="3088"/>
    <cellStyle name="Обычный 9 3 5" xfId="434"/>
    <cellStyle name="Обычный 9 3 5 2" xfId="787"/>
    <cellStyle name="Обычный 9 3 5 2 2" xfId="1914"/>
    <cellStyle name="Обычный 9 3 5 2 2 2" xfId="4457"/>
    <cellStyle name="Обычный 9 3 5 2 2 2 2" xfId="9575"/>
    <cellStyle name="Обычный 9 3 5 2 2 2 2 2" xfId="16756"/>
    <cellStyle name="Обычный 9 3 5 2 2 2 3" xfId="16757"/>
    <cellStyle name="Обычный 9 3 5 2 2 3" xfId="7519"/>
    <cellStyle name="Обычный 9 3 5 2 2 3 2" xfId="16758"/>
    <cellStyle name="Обычный 9 3 5 2 2 4" xfId="16759"/>
    <cellStyle name="Обычный 9 3 5 2 3" xfId="3429"/>
    <cellStyle name="Обычный 9 3 5 2 3 2" xfId="8547"/>
    <cellStyle name="Обычный 9 3 5 2 3 2 2" xfId="16760"/>
    <cellStyle name="Обычный 9 3 5 2 3 3" xfId="16761"/>
    <cellStyle name="Обычный 9 3 5 2 4" xfId="6491"/>
    <cellStyle name="Обычный 9 3 5 2 4 2" xfId="16762"/>
    <cellStyle name="Обычный 9 3 5 2 5" xfId="16763"/>
    <cellStyle name="Обычный 9 3 5 3" xfId="973"/>
    <cellStyle name="Обычный 9 3 5 3 2" xfId="2092"/>
    <cellStyle name="Обычный 9 3 5 3 2 2" xfId="4630"/>
    <cellStyle name="Обычный 9 3 5 3 2 2 2" xfId="9748"/>
    <cellStyle name="Обычный 9 3 5 3 2 2 2 2" xfId="16764"/>
    <cellStyle name="Обычный 9 3 5 3 2 2 3" xfId="16765"/>
    <cellStyle name="Обычный 9 3 5 3 2 3" xfId="7692"/>
    <cellStyle name="Обычный 9 3 5 3 2 3 2" xfId="16766"/>
    <cellStyle name="Обычный 9 3 5 3 2 4" xfId="16767"/>
    <cellStyle name="Обычный 9 3 5 3 3" xfId="3602"/>
    <cellStyle name="Обычный 9 3 5 3 3 2" xfId="8720"/>
    <cellStyle name="Обычный 9 3 5 3 3 2 2" xfId="16768"/>
    <cellStyle name="Обычный 9 3 5 3 3 3" xfId="16769"/>
    <cellStyle name="Обычный 9 3 5 3 4" xfId="6664"/>
    <cellStyle name="Обычный 9 3 5 3 4 2" xfId="16770"/>
    <cellStyle name="Обычный 9 3 5 3 5" xfId="16771"/>
    <cellStyle name="Обычный 9 3 5 4" xfId="1144"/>
    <cellStyle name="Обычный 9 3 5 4 2" xfId="2263"/>
    <cellStyle name="Обычный 9 3 5 4 2 2" xfId="4801"/>
    <cellStyle name="Обычный 9 3 5 4 2 2 2" xfId="9919"/>
    <cellStyle name="Обычный 9 3 5 4 2 2 2 2" xfId="16772"/>
    <cellStyle name="Обычный 9 3 5 4 2 2 3" xfId="16773"/>
    <cellStyle name="Обычный 9 3 5 4 2 3" xfId="7863"/>
    <cellStyle name="Обычный 9 3 5 4 2 3 2" xfId="16774"/>
    <cellStyle name="Обычный 9 3 5 4 2 4" xfId="16775"/>
    <cellStyle name="Обычный 9 3 5 4 3" xfId="3773"/>
    <cellStyle name="Обычный 9 3 5 4 3 2" xfId="8891"/>
    <cellStyle name="Обычный 9 3 5 4 3 2 2" xfId="16776"/>
    <cellStyle name="Обычный 9 3 5 4 3 3" xfId="16777"/>
    <cellStyle name="Обычный 9 3 5 4 4" xfId="6835"/>
    <cellStyle name="Обычный 9 3 5 4 4 2" xfId="16778"/>
    <cellStyle name="Обычный 9 3 5 4 5" xfId="16779"/>
    <cellStyle name="Обычный 9 3 5 5" xfId="1325"/>
    <cellStyle name="Обычный 9 3 5 5 2" xfId="2434"/>
    <cellStyle name="Обычный 9 3 5 5 2 2" xfId="4972"/>
    <cellStyle name="Обычный 9 3 5 5 2 2 2" xfId="10090"/>
    <cellStyle name="Обычный 9 3 5 5 2 2 2 2" xfId="16780"/>
    <cellStyle name="Обычный 9 3 5 5 2 2 3" xfId="16781"/>
    <cellStyle name="Обычный 9 3 5 5 2 3" xfId="8034"/>
    <cellStyle name="Обычный 9 3 5 5 2 3 2" xfId="16782"/>
    <cellStyle name="Обычный 9 3 5 5 2 4" xfId="16783"/>
    <cellStyle name="Обычный 9 3 5 5 3" xfId="3944"/>
    <cellStyle name="Обычный 9 3 5 5 3 2" xfId="9062"/>
    <cellStyle name="Обычный 9 3 5 5 3 2 2" xfId="16784"/>
    <cellStyle name="Обычный 9 3 5 5 3 3" xfId="16785"/>
    <cellStyle name="Обычный 9 3 5 5 4" xfId="7006"/>
    <cellStyle name="Обычный 9 3 5 5 4 2" xfId="16786"/>
    <cellStyle name="Обычный 9 3 5 5 5" xfId="16787"/>
    <cellStyle name="Обычный 9 3 5 6" xfId="1499"/>
    <cellStyle name="Обычный 9 3 5 6 2" xfId="2605"/>
    <cellStyle name="Обычный 9 3 5 6 2 2" xfId="5143"/>
    <cellStyle name="Обычный 9 3 5 6 2 2 2" xfId="10261"/>
    <cellStyle name="Обычный 9 3 5 6 2 2 2 2" xfId="16788"/>
    <cellStyle name="Обычный 9 3 5 6 2 2 3" xfId="16789"/>
    <cellStyle name="Обычный 9 3 5 6 2 3" xfId="8205"/>
    <cellStyle name="Обычный 9 3 5 6 2 3 2" xfId="16790"/>
    <cellStyle name="Обычный 9 3 5 6 2 4" xfId="16791"/>
    <cellStyle name="Обычный 9 3 5 6 3" xfId="4115"/>
    <cellStyle name="Обычный 9 3 5 6 3 2" xfId="9233"/>
    <cellStyle name="Обычный 9 3 5 6 3 2 2" xfId="16792"/>
    <cellStyle name="Обычный 9 3 5 6 3 3" xfId="16793"/>
    <cellStyle name="Обычный 9 3 5 6 4" xfId="7177"/>
    <cellStyle name="Обычный 9 3 5 6 4 2" xfId="16794"/>
    <cellStyle name="Обычный 9 3 5 6 5" xfId="16795"/>
    <cellStyle name="Обычный 9 3 5 7" xfId="1670"/>
    <cellStyle name="Обычный 9 3 5 7 2" xfId="2776"/>
    <cellStyle name="Обычный 9 3 5 7 2 2" xfId="5314"/>
    <cellStyle name="Обычный 9 3 5 7 2 2 2" xfId="10432"/>
    <cellStyle name="Обычный 9 3 5 7 2 2 2 2" xfId="16796"/>
    <cellStyle name="Обычный 9 3 5 7 2 2 3" xfId="16797"/>
    <cellStyle name="Обычный 9 3 5 7 2 3" xfId="8376"/>
    <cellStyle name="Обычный 9 3 5 7 2 3 2" xfId="16798"/>
    <cellStyle name="Обычный 9 3 5 7 2 4" xfId="16799"/>
    <cellStyle name="Обычный 9 3 5 7 3" xfId="4286"/>
    <cellStyle name="Обычный 9 3 5 7 3 2" xfId="9404"/>
    <cellStyle name="Обычный 9 3 5 7 3 2 2" xfId="16800"/>
    <cellStyle name="Обычный 9 3 5 7 3 3" xfId="16801"/>
    <cellStyle name="Обычный 9 3 5 7 4" xfId="7348"/>
    <cellStyle name="Обычный 9 3 5 7 4 2" xfId="16802"/>
    <cellStyle name="Обычный 9 3 5 7 5" xfId="16803"/>
    <cellStyle name="Обычный 9 3 5 8" xfId="3089"/>
    <cellStyle name="Обычный 9 4" xfId="435"/>
    <cellStyle name="Обычный 9 4 2" xfId="436"/>
    <cellStyle name="Обычный 9 4 2 2" xfId="788"/>
    <cellStyle name="Обычный 9 4 2 2 2" xfId="1915"/>
    <cellStyle name="Обычный 9 4 2 2 2 2" xfId="4458"/>
    <cellStyle name="Обычный 9 4 2 2 2 2 2" xfId="9576"/>
    <cellStyle name="Обычный 9 4 2 2 2 2 2 2" xfId="16804"/>
    <cellStyle name="Обычный 9 4 2 2 2 2 3" xfId="16805"/>
    <cellStyle name="Обычный 9 4 2 2 2 3" xfId="7520"/>
    <cellStyle name="Обычный 9 4 2 2 2 3 2" xfId="16806"/>
    <cellStyle name="Обычный 9 4 2 2 2 4" xfId="16807"/>
    <cellStyle name="Обычный 9 4 2 2 3" xfId="3430"/>
    <cellStyle name="Обычный 9 4 2 2 3 2" xfId="8548"/>
    <cellStyle name="Обычный 9 4 2 2 3 2 2" xfId="16808"/>
    <cellStyle name="Обычный 9 4 2 2 3 3" xfId="16809"/>
    <cellStyle name="Обычный 9 4 2 2 4" xfId="6492"/>
    <cellStyle name="Обычный 9 4 2 2 4 2" xfId="16810"/>
    <cellStyle name="Обычный 9 4 2 2 5" xfId="16811"/>
    <cellStyle name="Обычный 9 4 2 3" xfId="974"/>
    <cellStyle name="Обычный 9 4 2 3 2" xfId="2093"/>
    <cellStyle name="Обычный 9 4 2 3 2 2" xfId="4631"/>
    <cellStyle name="Обычный 9 4 2 3 2 2 2" xfId="9749"/>
    <cellStyle name="Обычный 9 4 2 3 2 2 2 2" xfId="16812"/>
    <cellStyle name="Обычный 9 4 2 3 2 2 3" xfId="16813"/>
    <cellStyle name="Обычный 9 4 2 3 2 3" xfId="7693"/>
    <cellStyle name="Обычный 9 4 2 3 2 3 2" xfId="16814"/>
    <cellStyle name="Обычный 9 4 2 3 2 4" xfId="16815"/>
    <cellStyle name="Обычный 9 4 2 3 3" xfId="3603"/>
    <cellStyle name="Обычный 9 4 2 3 3 2" xfId="8721"/>
    <cellStyle name="Обычный 9 4 2 3 3 2 2" xfId="16816"/>
    <cellStyle name="Обычный 9 4 2 3 3 3" xfId="16817"/>
    <cellStyle name="Обычный 9 4 2 3 4" xfId="6665"/>
    <cellStyle name="Обычный 9 4 2 3 4 2" xfId="16818"/>
    <cellStyle name="Обычный 9 4 2 3 5" xfId="16819"/>
    <cellStyle name="Обычный 9 4 2 4" xfId="1145"/>
    <cellStyle name="Обычный 9 4 2 4 2" xfId="2264"/>
    <cellStyle name="Обычный 9 4 2 4 2 2" xfId="4802"/>
    <cellStyle name="Обычный 9 4 2 4 2 2 2" xfId="9920"/>
    <cellStyle name="Обычный 9 4 2 4 2 2 2 2" xfId="16820"/>
    <cellStyle name="Обычный 9 4 2 4 2 2 3" xfId="16821"/>
    <cellStyle name="Обычный 9 4 2 4 2 3" xfId="7864"/>
    <cellStyle name="Обычный 9 4 2 4 2 3 2" xfId="16822"/>
    <cellStyle name="Обычный 9 4 2 4 2 4" xfId="16823"/>
    <cellStyle name="Обычный 9 4 2 4 3" xfId="3774"/>
    <cellStyle name="Обычный 9 4 2 4 3 2" xfId="8892"/>
    <cellStyle name="Обычный 9 4 2 4 3 2 2" xfId="16824"/>
    <cellStyle name="Обычный 9 4 2 4 3 3" xfId="16825"/>
    <cellStyle name="Обычный 9 4 2 4 4" xfId="6836"/>
    <cellStyle name="Обычный 9 4 2 4 4 2" xfId="16826"/>
    <cellStyle name="Обычный 9 4 2 4 5" xfId="16827"/>
    <cellStyle name="Обычный 9 4 2 5" xfId="1326"/>
    <cellStyle name="Обычный 9 4 2 5 2" xfId="2435"/>
    <cellStyle name="Обычный 9 4 2 5 2 2" xfId="4973"/>
    <cellStyle name="Обычный 9 4 2 5 2 2 2" xfId="10091"/>
    <cellStyle name="Обычный 9 4 2 5 2 2 2 2" xfId="16828"/>
    <cellStyle name="Обычный 9 4 2 5 2 2 3" xfId="16829"/>
    <cellStyle name="Обычный 9 4 2 5 2 3" xfId="8035"/>
    <cellStyle name="Обычный 9 4 2 5 2 3 2" xfId="16830"/>
    <cellStyle name="Обычный 9 4 2 5 2 4" xfId="16831"/>
    <cellStyle name="Обычный 9 4 2 5 3" xfId="3945"/>
    <cellStyle name="Обычный 9 4 2 5 3 2" xfId="9063"/>
    <cellStyle name="Обычный 9 4 2 5 3 2 2" xfId="16832"/>
    <cellStyle name="Обычный 9 4 2 5 3 3" xfId="16833"/>
    <cellStyle name="Обычный 9 4 2 5 4" xfId="7007"/>
    <cellStyle name="Обычный 9 4 2 5 4 2" xfId="16834"/>
    <cellStyle name="Обычный 9 4 2 5 5" xfId="16835"/>
    <cellStyle name="Обычный 9 4 2 6" xfId="1500"/>
    <cellStyle name="Обычный 9 4 2 6 2" xfId="2606"/>
    <cellStyle name="Обычный 9 4 2 6 2 2" xfId="5144"/>
    <cellStyle name="Обычный 9 4 2 6 2 2 2" xfId="10262"/>
    <cellStyle name="Обычный 9 4 2 6 2 2 2 2" xfId="16836"/>
    <cellStyle name="Обычный 9 4 2 6 2 2 3" xfId="16837"/>
    <cellStyle name="Обычный 9 4 2 6 2 3" xfId="8206"/>
    <cellStyle name="Обычный 9 4 2 6 2 3 2" xfId="16838"/>
    <cellStyle name="Обычный 9 4 2 6 2 4" xfId="16839"/>
    <cellStyle name="Обычный 9 4 2 6 3" xfId="4116"/>
    <cellStyle name="Обычный 9 4 2 6 3 2" xfId="9234"/>
    <cellStyle name="Обычный 9 4 2 6 3 2 2" xfId="16840"/>
    <cellStyle name="Обычный 9 4 2 6 3 3" xfId="16841"/>
    <cellStyle name="Обычный 9 4 2 6 4" xfId="7178"/>
    <cellStyle name="Обычный 9 4 2 6 4 2" xfId="16842"/>
    <cellStyle name="Обычный 9 4 2 6 5" xfId="16843"/>
    <cellStyle name="Обычный 9 4 2 7" xfId="1671"/>
    <cellStyle name="Обычный 9 4 2 7 2" xfId="2777"/>
    <cellStyle name="Обычный 9 4 2 7 2 2" xfId="5315"/>
    <cellStyle name="Обычный 9 4 2 7 2 2 2" xfId="10433"/>
    <cellStyle name="Обычный 9 4 2 7 2 2 2 2" xfId="16844"/>
    <cellStyle name="Обычный 9 4 2 7 2 2 3" xfId="16845"/>
    <cellStyle name="Обычный 9 4 2 7 2 3" xfId="8377"/>
    <cellStyle name="Обычный 9 4 2 7 2 3 2" xfId="16846"/>
    <cellStyle name="Обычный 9 4 2 7 2 4" xfId="16847"/>
    <cellStyle name="Обычный 9 4 2 7 3" xfId="4287"/>
    <cellStyle name="Обычный 9 4 2 7 3 2" xfId="9405"/>
    <cellStyle name="Обычный 9 4 2 7 3 2 2" xfId="16848"/>
    <cellStyle name="Обычный 9 4 2 7 3 3" xfId="16849"/>
    <cellStyle name="Обычный 9 4 2 7 4" xfId="7349"/>
    <cellStyle name="Обычный 9 4 2 7 4 2" xfId="16850"/>
    <cellStyle name="Обычный 9 4 2 7 5" xfId="16851"/>
    <cellStyle name="Обычный 9 4 2 8" xfId="3090"/>
    <cellStyle name="Обычный 9 5" xfId="437"/>
    <cellStyle name="Обычный 9 5 2" xfId="438"/>
    <cellStyle name="Обычный 9 5 2 2" xfId="789"/>
    <cellStyle name="Обычный 9 5 2 2 2" xfId="1916"/>
    <cellStyle name="Обычный 9 5 2 2 2 2" xfId="4459"/>
    <cellStyle name="Обычный 9 5 2 2 2 2 2" xfId="9577"/>
    <cellStyle name="Обычный 9 5 2 2 2 2 2 2" xfId="16852"/>
    <cellStyle name="Обычный 9 5 2 2 2 2 3" xfId="16853"/>
    <cellStyle name="Обычный 9 5 2 2 2 3" xfId="7521"/>
    <cellStyle name="Обычный 9 5 2 2 2 3 2" xfId="16854"/>
    <cellStyle name="Обычный 9 5 2 2 2 4" xfId="16855"/>
    <cellStyle name="Обычный 9 5 2 2 3" xfId="3431"/>
    <cellStyle name="Обычный 9 5 2 2 3 2" xfId="8549"/>
    <cellStyle name="Обычный 9 5 2 2 3 2 2" xfId="16856"/>
    <cellStyle name="Обычный 9 5 2 2 3 3" xfId="16857"/>
    <cellStyle name="Обычный 9 5 2 2 4" xfId="6493"/>
    <cellStyle name="Обычный 9 5 2 2 4 2" xfId="16858"/>
    <cellStyle name="Обычный 9 5 2 2 5" xfId="16859"/>
    <cellStyle name="Обычный 9 5 2 3" xfId="975"/>
    <cellStyle name="Обычный 9 5 2 3 2" xfId="2094"/>
    <cellStyle name="Обычный 9 5 2 3 2 2" xfId="4632"/>
    <cellStyle name="Обычный 9 5 2 3 2 2 2" xfId="9750"/>
    <cellStyle name="Обычный 9 5 2 3 2 2 2 2" xfId="16860"/>
    <cellStyle name="Обычный 9 5 2 3 2 2 3" xfId="16861"/>
    <cellStyle name="Обычный 9 5 2 3 2 3" xfId="7694"/>
    <cellStyle name="Обычный 9 5 2 3 2 3 2" xfId="16862"/>
    <cellStyle name="Обычный 9 5 2 3 2 4" xfId="16863"/>
    <cellStyle name="Обычный 9 5 2 3 3" xfId="3604"/>
    <cellStyle name="Обычный 9 5 2 3 3 2" xfId="8722"/>
    <cellStyle name="Обычный 9 5 2 3 3 2 2" xfId="16864"/>
    <cellStyle name="Обычный 9 5 2 3 3 3" xfId="16865"/>
    <cellStyle name="Обычный 9 5 2 3 4" xfId="6666"/>
    <cellStyle name="Обычный 9 5 2 3 4 2" xfId="16866"/>
    <cellStyle name="Обычный 9 5 2 3 5" xfId="16867"/>
    <cellStyle name="Обычный 9 5 2 4" xfId="1146"/>
    <cellStyle name="Обычный 9 5 2 4 2" xfId="2265"/>
    <cellStyle name="Обычный 9 5 2 4 2 2" xfId="4803"/>
    <cellStyle name="Обычный 9 5 2 4 2 2 2" xfId="9921"/>
    <cellStyle name="Обычный 9 5 2 4 2 2 2 2" xfId="16868"/>
    <cellStyle name="Обычный 9 5 2 4 2 2 3" xfId="16869"/>
    <cellStyle name="Обычный 9 5 2 4 2 3" xfId="7865"/>
    <cellStyle name="Обычный 9 5 2 4 2 3 2" xfId="16870"/>
    <cellStyle name="Обычный 9 5 2 4 2 4" xfId="16871"/>
    <cellStyle name="Обычный 9 5 2 4 3" xfId="3775"/>
    <cellStyle name="Обычный 9 5 2 4 3 2" xfId="8893"/>
    <cellStyle name="Обычный 9 5 2 4 3 2 2" xfId="16872"/>
    <cellStyle name="Обычный 9 5 2 4 3 3" xfId="16873"/>
    <cellStyle name="Обычный 9 5 2 4 4" xfId="6837"/>
    <cellStyle name="Обычный 9 5 2 4 4 2" xfId="16874"/>
    <cellStyle name="Обычный 9 5 2 4 5" xfId="16875"/>
    <cellStyle name="Обычный 9 5 2 5" xfId="1327"/>
    <cellStyle name="Обычный 9 5 2 5 2" xfId="2436"/>
    <cellStyle name="Обычный 9 5 2 5 2 2" xfId="4974"/>
    <cellStyle name="Обычный 9 5 2 5 2 2 2" xfId="10092"/>
    <cellStyle name="Обычный 9 5 2 5 2 2 2 2" xfId="16876"/>
    <cellStyle name="Обычный 9 5 2 5 2 2 3" xfId="16877"/>
    <cellStyle name="Обычный 9 5 2 5 2 3" xfId="8036"/>
    <cellStyle name="Обычный 9 5 2 5 2 3 2" xfId="16878"/>
    <cellStyle name="Обычный 9 5 2 5 2 4" xfId="16879"/>
    <cellStyle name="Обычный 9 5 2 5 3" xfId="3946"/>
    <cellStyle name="Обычный 9 5 2 5 3 2" xfId="9064"/>
    <cellStyle name="Обычный 9 5 2 5 3 2 2" xfId="16880"/>
    <cellStyle name="Обычный 9 5 2 5 3 3" xfId="16881"/>
    <cellStyle name="Обычный 9 5 2 5 4" xfId="7008"/>
    <cellStyle name="Обычный 9 5 2 5 4 2" xfId="16882"/>
    <cellStyle name="Обычный 9 5 2 5 5" xfId="16883"/>
    <cellStyle name="Обычный 9 5 2 6" xfId="1501"/>
    <cellStyle name="Обычный 9 5 2 6 2" xfId="2607"/>
    <cellStyle name="Обычный 9 5 2 6 2 2" xfId="5145"/>
    <cellStyle name="Обычный 9 5 2 6 2 2 2" xfId="10263"/>
    <cellStyle name="Обычный 9 5 2 6 2 2 2 2" xfId="16884"/>
    <cellStyle name="Обычный 9 5 2 6 2 2 3" xfId="16885"/>
    <cellStyle name="Обычный 9 5 2 6 2 3" xfId="8207"/>
    <cellStyle name="Обычный 9 5 2 6 2 3 2" xfId="16886"/>
    <cellStyle name="Обычный 9 5 2 6 2 4" xfId="16887"/>
    <cellStyle name="Обычный 9 5 2 6 3" xfId="4117"/>
    <cellStyle name="Обычный 9 5 2 6 3 2" xfId="9235"/>
    <cellStyle name="Обычный 9 5 2 6 3 2 2" xfId="16888"/>
    <cellStyle name="Обычный 9 5 2 6 3 3" xfId="16889"/>
    <cellStyle name="Обычный 9 5 2 6 4" xfId="7179"/>
    <cellStyle name="Обычный 9 5 2 6 4 2" xfId="16890"/>
    <cellStyle name="Обычный 9 5 2 6 5" xfId="16891"/>
    <cellStyle name="Обычный 9 5 2 7" xfId="1672"/>
    <cellStyle name="Обычный 9 5 2 7 2" xfId="2778"/>
    <cellStyle name="Обычный 9 5 2 7 2 2" xfId="5316"/>
    <cellStyle name="Обычный 9 5 2 7 2 2 2" xfId="10434"/>
    <cellStyle name="Обычный 9 5 2 7 2 2 2 2" xfId="16892"/>
    <cellStyle name="Обычный 9 5 2 7 2 2 3" xfId="16893"/>
    <cellStyle name="Обычный 9 5 2 7 2 3" xfId="8378"/>
    <cellStyle name="Обычный 9 5 2 7 2 3 2" xfId="16894"/>
    <cellStyle name="Обычный 9 5 2 7 2 4" xfId="16895"/>
    <cellStyle name="Обычный 9 5 2 7 3" xfId="4288"/>
    <cellStyle name="Обычный 9 5 2 7 3 2" xfId="9406"/>
    <cellStyle name="Обычный 9 5 2 7 3 2 2" xfId="16896"/>
    <cellStyle name="Обычный 9 5 2 7 3 3" xfId="16897"/>
    <cellStyle name="Обычный 9 5 2 7 4" xfId="7350"/>
    <cellStyle name="Обычный 9 5 2 7 4 2" xfId="16898"/>
    <cellStyle name="Обычный 9 5 2 7 5" xfId="16899"/>
    <cellStyle name="Обычный 9 5 2 8" xfId="3091"/>
    <cellStyle name="Обычный 9 6" xfId="439"/>
    <cellStyle name="Обычный 9 6 2" xfId="790"/>
    <cellStyle name="Обычный 9 6 2 2" xfId="1917"/>
    <cellStyle name="Обычный 9 6 2 2 2" xfId="4460"/>
    <cellStyle name="Обычный 9 6 2 2 2 2" xfId="9578"/>
    <cellStyle name="Обычный 9 6 2 2 2 2 2" xfId="16900"/>
    <cellStyle name="Обычный 9 6 2 2 2 3" xfId="16901"/>
    <cellStyle name="Обычный 9 6 2 2 3" xfId="7522"/>
    <cellStyle name="Обычный 9 6 2 2 3 2" xfId="16902"/>
    <cellStyle name="Обычный 9 6 2 2 4" xfId="16903"/>
    <cellStyle name="Обычный 9 6 2 3" xfId="3432"/>
    <cellStyle name="Обычный 9 6 2 3 2" xfId="8550"/>
    <cellStyle name="Обычный 9 6 2 3 2 2" xfId="16904"/>
    <cellStyle name="Обычный 9 6 2 3 3" xfId="16905"/>
    <cellStyle name="Обычный 9 6 2 4" xfId="6494"/>
    <cellStyle name="Обычный 9 6 2 4 2" xfId="16906"/>
    <cellStyle name="Обычный 9 6 2 5" xfId="16907"/>
    <cellStyle name="Обычный 9 6 3" xfId="976"/>
    <cellStyle name="Обычный 9 6 3 2" xfId="2095"/>
    <cellStyle name="Обычный 9 6 3 2 2" xfId="4633"/>
    <cellStyle name="Обычный 9 6 3 2 2 2" xfId="9751"/>
    <cellStyle name="Обычный 9 6 3 2 2 2 2" xfId="16908"/>
    <cellStyle name="Обычный 9 6 3 2 2 3" xfId="16909"/>
    <cellStyle name="Обычный 9 6 3 2 3" xfId="7695"/>
    <cellStyle name="Обычный 9 6 3 2 3 2" xfId="16910"/>
    <cellStyle name="Обычный 9 6 3 2 4" xfId="16911"/>
    <cellStyle name="Обычный 9 6 3 3" xfId="3605"/>
    <cellStyle name="Обычный 9 6 3 3 2" xfId="8723"/>
    <cellStyle name="Обычный 9 6 3 3 2 2" xfId="16912"/>
    <cellStyle name="Обычный 9 6 3 3 3" xfId="16913"/>
    <cellStyle name="Обычный 9 6 3 4" xfId="6667"/>
    <cellStyle name="Обычный 9 6 3 4 2" xfId="16914"/>
    <cellStyle name="Обычный 9 6 3 5" xfId="16915"/>
    <cellStyle name="Обычный 9 6 4" xfId="1147"/>
    <cellStyle name="Обычный 9 6 4 2" xfId="2266"/>
    <cellStyle name="Обычный 9 6 4 2 2" xfId="4804"/>
    <cellStyle name="Обычный 9 6 4 2 2 2" xfId="9922"/>
    <cellStyle name="Обычный 9 6 4 2 2 2 2" xfId="16916"/>
    <cellStyle name="Обычный 9 6 4 2 2 3" xfId="16917"/>
    <cellStyle name="Обычный 9 6 4 2 3" xfId="7866"/>
    <cellStyle name="Обычный 9 6 4 2 3 2" xfId="16918"/>
    <cellStyle name="Обычный 9 6 4 2 4" xfId="16919"/>
    <cellStyle name="Обычный 9 6 4 3" xfId="3776"/>
    <cellStyle name="Обычный 9 6 4 3 2" xfId="8894"/>
    <cellStyle name="Обычный 9 6 4 3 2 2" xfId="16920"/>
    <cellStyle name="Обычный 9 6 4 3 3" xfId="16921"/>
    <cellStyle name="Обычный 9 6 4 4" xfId="6838"/>
    <cellStyle name="Обычный 9 6 4 4 2" xfId="16922"/>
    <cellStyle name="Обычный 9 6 4 5" xfId="16923"/>
    <cellStyle name="Обычный 9 6 5" xfId="1328"/>
    <cellStyle name="Обычный 9 6 5 2" xfId="2437"/>
    <cellStyle name="Обычный 9 6 5 2 2" xfId="4975"/>
    <cellStyle name="Обычный 9 6 5 2 2 2" xfId="10093"/>
    <cellStyle name="Обычный 9 6 5 2 2 2 2" xfId="16924"/>
    <cellStyle name="Обычный 9 6 5 2 2 3" xfId="16925"/>
    <cellStyle name="Обычный 9 6 5 2 3" xfId="8037"/>
    <cellStyle name="Обычный 9 6 5 2 3 2" xfId="16926"/>
    <cellStyle name="Обычный 9 6 5 2 4" xfId="16927"/>
    <cellStyle name="Обычный 9 6 5 3" xfId="3947"/>
    <cellStyle name="Обычный 9 6 5 3 2" xfId="9065"/>
    <cellStyle name="Обычный 9 6 5 3 2 2" xfId="16928"/>
    <cellStyle name="Обычный 9 6 5 3 3" xfId="16929"/>
    <cellStyle name="Обычный 9 6 5 4" xfId="7009"/>
    <cellStyle name="Обычный 9 6 5 4 2" xfId="16930"/>
    <cellStyle name="Обычный 9 6 5 5" xfId="16931"/>
    <cellStyle name="Обычный 9 6 6" xfId="1502"/>
    <cellStyle name="Обычный 9 6 6 2" xfId="2608"/>
    <cellStyle name="Обычный 9 6 6 2 2" xfId="5146"/>
    <cellStyle name="Обычный 9 6 6 2 2 2" xfId="10264"/>
    <cellStyle name="Обычный 9 6 6 2 2 2 2" xfId="16932"/>
    <cellStyle name="Обычный 9 6 6 2 2 3" xfId="16933"/>
    <cellStyle name="Обычный 9 6 6 2 3" xfId="8208"/>
    <cellStyle name="Обычный 9 6 6 2 3 2" xfId="16934"/>
    <cellStyle name="Обычный 9 6 6 2 4" xfId="16935"/>
    <cellStyle name="Обычный 9 6 6 3" xfId="4118"/>
    <cellStyle name="Обычный 9 6 6 3 2" xfId="9236"/>
    <cellStyle name="Обычный 9 6 6 3 2 2" xfId="16936"/>
    <cellStyle name="Обычный 9 6 6 3 3" xfId="16937"/>
    <cellStyle name="Обычный 9 6 6 4" xfId="7180"/>
    <cellStyle name="Обычный 9 6 6 4 2" xfId="16938"/>
    <cellStyle name="Обычный 9 6 6 5" xfId="16939"/>
    <cellStyle name="Обычный 9 6 7" xfId="1673"/>
    <cellStyle name="Обычный 9 6 7 2" xfId="2779"/>
    <cellStyle name="Обычный 9 6 7 2 2" xfId="5317"/>
    <cellStyle name="Обычный 9 6 7 2 2 2" xfId="10435"/>
    <cellStyle name="Обычный 9 6 7 2 2 2 2" xfId="16940"/>
    <cellStyle name="Обычный 9 6 7 2 2 3" xfId="16941"/>
    <cellStyle name="Обычный 9 6 7 2 3" xfId="8379"/>
    <cellStyle name="Обычный 9 6 7 2 3 2" xfId="16942"/>
    <cellStyle name="Обычный 9 6 7 2 4" xfId="16943"/>
    <cellStyle name="Обычный 9 6 7 3" xfId="4289"/>
    <cellStyle name="Обычный 9 6 7 3 2" xfId="9407"/>
    <cellStyle name="Обычный 9 6 7 3 2 2" xfId="16944"/>
    <cellStyle name="Обычный 9 6 7 3 3" xfId="16945"/>
    <cellStyle name="Обычный 9 6 7 4" xfId="7351"/>
    <cellStyle name="Обычный 9 6 7 4 2" xfId="16946"/>
    <cellStyle name="Обычный 9 6 7 5" xfId="16947"/>
    <cellStyle name="Обычный 9 6 8" xfId="3092"/>
    <cellStyle name="Плохой 2" xfId="440"/>
    <cellStyle name="Плохой 2 2" xfId="441"/>
    <cellStyle name="Плохой 2 2 2" xfId="791"/>
    <cellStyle name="Плохой 2 2 3" xfId="3093"/>
    <cellStyle name="Плохой 2 3" xfId="442"/>
    <cellStyle name="Плохой 2 4" xfId="16948"/>
    <cellStyle name="Плохой 3" xfId="443"/>
    <cellStyle name="Плохой 3 2" xfId="792"/>
    <cellStyle name="Плохой 3 2 2" xfId="3213"/>
    <cellStyle name="Плохой 3 2 3" xfId="2861"/>
    <cellStyle name="Пояснение 2" xfId="444"/>
    <cellStyle name="Пояснение 2 2" xfId="445"/>
    <cellStyle name="Пояснение 2 3" xfId="16949"/>
    <cellStyle name="Пояснение 3" xfId="2862"/>
    <cellStyle name="Пояснение 3 2" xfId="16950"/>
    <cellStyle name="Примечание 2" xfId="446"/>
    <cellStyle name="Примечание 2 10" xfId="5366"/>
    <cellStyle name="Примечание 2 10 2" xfId="21958"/>
    <cellStyle name="Примечание 2 10 3" xfId="22289"/>
    <cellStyle name="Примечание 2 10 4" xfId="23033"/>
    <cellStyle name="Примечание 2 10 5" xfId="19985"/>
    <cellStyle name="Примечание 2 10 6" xfId="19767"/>
    <cellStyle name="Примечание 2 10 7" xfId="21172"/>
    <cellStyle name="Примечание 2 11" xfId="5701"/>
    <cellStyle name="Примечание 2 11 2" xfId="19458"/>
    <cellStyle name="Примечание 2 11 3" xfId="22624"/>
    <cellStyle name="Примечание 2 11 4" xfId="19414"/>
    <cellStyle name="Примечание 2 11 5" xfId="23523"/>
    <cellStyle name="Примечание 2 11 6" xfId="22265"/>
    <cellStyle name="Примечание 2 11 7" xfId="21328"/>
    <cellStyle name="Примечание 2 12" xfId="6036"/>
    <cellStyle name="Примечание 2 12 2" xfId="23838"/>
    <cellStyle name="Примечание 2 12 3" xfId="19524"/>
    <cellStyle name="Примечание 2 13" xfId="18881"/>
    <cellStyle name="Примечание 2 13 2" xfId="19728"/>
    <cellStyle name="Примечание 2 14" xfId="20305"/>
    <cellStyle name="Примечание 2 15" xfId="20545"/>
    <cellStyle name="Примечание 2 16" xfId="22979"/>
    <cellStyle name="Примечание 2 2" xfId="447"/>
    <cellStyle name="Примечание 2 2 10" xfId="18882"/>
    <cellStyle name="Примечание 2 2 10 2" xfId="19795"/>
    <cellStyle name="Примечание 2 2 11" xfId="19397"/>
    <cellStyle name="Примечание 2 2 12" xfId="20346"/>
    <cellStyle name="Примечание 2 2 13" xfId="23655"/>
    <cellStyle name="Примечание 2 2 2" xfId="794"/>
    <cellStyle name="Примечание 2 2 2 10" xfId="22969"/>
    <cellStyle name="Примечание 2 2 2 2" xfId="1919"/>
    <cellStyle name="Примечание 2 2 2 2 2" xfId="3298"/>
    <cellStyle name="Примечание 2 2 2 2 2 10" xfId="21687"/>
    <cellStyle name="Примечание 2 2 2 2 2 2" xfId="5668"/>
    <cellStyle name="Примечание 2 2 2 2 2 2 2" xfId="6003"/>
    <cellStyle name="Примечание 2 2 2 2 2 2 2 2" xfId="20442"/>
    <cellStyle name="Примечание 2 2 2 2 2 2 2 3" xfId="22926"/>
    <cellStyle name="Примечание 2 2 2 2 2 2 2 4" xfId="23398"/>
    <cellStyle name="Примечание 2 2 2 2 2 2 2 5" xfId="22013"/>
    <cellStyle name="Примечание 2 2 2 2 2 2 2 6" xfId="21015"/>
    <cellStyle name="Примечание 2 2 2 2 2 2 2 7" xfId="21630"/>
    <cellStyle name="Примечание 2 2 2 2 2 2 3" xfId="6338"/>
    <cellStyle name="Примечание 2 2 2 2 2 2 3 2" xfId="24140"/>
    <cellStyle name="Примечание 2 2 2 2 2 2 3 3" xfId="22109"/>
    <cellStyle name="Примечание 2 2 2 2 2 2 4" xfId="19183"/>
    <cellStyle name="Примечание 2 2 2 2 2 2 4 2" xfId="22591"/>
    <cellStyle name="Примечание 2 2 2 2 2 2 5" xfId="23064"/>
    <cellStyle name="Примечание 2 2 2 2 2 2 6" xfId="20146"/>
    <cellStyle name="Примечание 2 2 2 2 2 2 7" xfId="23684"/>
    <cellStyle name="Примечание 2 2 2 2 2 3" xfId="5540"/>
    <cellStyle name="Примечание 2 2 2 2 2 3 2" xfId="5875"/>
    <cellStyle name="Примечание 2 2 2 2 2 3 2 2" xfId="19932"/>
    <cellStyle name="Примечание 2 2 2 2 2 3 2 3" xfId="22798"/>
    <cellStyle name="Примечание 2 2 2 2 2 3 2 4" xfId="20377"/>
    <cellStyle name="Примечание 2 2 2 2 2 3 2 5" xfId="19555"/>
    <cellStyle name="Примечание 2 2 2 2 2 3 2 6" xfId="23520"/>
    <cellStyle name="Примечание 2 2 2 2 2 3 2 7" xfId="21502"/>
    <cellStyle name="Примечание 2 2 2 2 2 3 3" xfId="6210"/>
    <cellStyle name="Примечание 2 2 2 2 2 3 3 2" xfId="24012"/>
    <cellStyle name="Примечание 2 2 2 2 2 3 3 3" xfId="22194"/>
    <cellStyle name="Примечание 2 2 2 2 2 3 4" xfId="19055"/>
    <cellStyle name="Примечание 2 2 2 2 2 3 4 2" xfId="22463"/>
    <cellStyle name="Примечание 2 2 2 2 2 3 5" xfId="23234"/>
    <cellStyle name="Примечание 2 2 2 2 2 3 6" xfId="21667"/>
    <cellStyle name="Примечание 2 2 2 2 2 3 7" xfId="22108"/>
    <cellStyle name="Примечание 2 2 2 2 2 4" xfId="5615"/>
    <cellStyle name="Примечание 2 2 2 2 2 4 2" xfId="22028"/>
    <cellStyle name="Примечание 2 2 2 2 2 4 3" xfId="22538"/>
    <cellStyle name="Примечание 2 2 2 2 2 4 4" xfId="19798"/>
    <cellStyle name="Примечание 2 2 2 2 2 4 5" xfId="22142"/>
    <cellStyle name="Примечание 2 2 2 2 2 4 6" xfId="23779"/>
    <cellStyle name="Примечание 2 2 2 2 2 4 7" xfId="21316"/>
    <cellStyle name="Примечание 2 2 2 2 2 5" xfId="5950"/>
    <cellStyle name="Примечание 2 2 2 2 2 5 2" xfId="21703"/>
    <cellStyle name="Примечание 2 2 2 2 2 5 3" xfId="22873"/>
    <cellStyle name="Примечание 2 2 2 2 2 5 4" xfId="22064"/>
    <cellStyle name="Примечание 2 2 2 2 2 5 5" xfId="20979"/>
    <cellStyle name="Примечание 2 2 2 2 2 5 6" xfId="22214"/>
    <cellStyle name="Примечание 2 2 2 2 2 5 7" xfId="21577"/>
    <cellStyle name="Примечание 2 2 2 2 2 6" xfId="6285"/>
    <cellStyle name="Примечание 2 2 2 2 2 6 2" xfId="24087"/>
    <cellStyle name="Примечание 2 2 2 2 2 6 3" xfId="21110"/>
    <cellStyle name="Примечание 2 2 2 2 2 7" xfId="16951"/>
    <cellStyle name="Примечание 2 2 2 2 2 7 2" xfId="24166"/>
    <cellStyle name="Примечание 2 2 2 2 2 7 3" xfId="20229"/>
    <cellStyle name="Примечание 2 2 2 2 2 8" xfId="19130"/>
    <cellStyle name="Примечание 2 2 2 2 2 8 2" xfId="21775"/>
    <cellStyle name="Примечание 2 2 2 2 2 9" xfId="20490"/>
    <cellStyle name="Примечание 2 2 2 2 3" xfId="5435"/>
    <cellStyle name="Примечание 2 2 2 2 3 2" xfId="22006"/>
    <cellStyle name="Примечание 2 2 2 2 3 3" xfId="22358"/>
    <cellStyle name="Примечание 2 2 2 2 3 4" xfId="20405"/>
    <cellStyle name="Примечание 2 2 2 2 3 5" xfId="19641"/>
    <cellStyle name="Примечание 2 2 2 2 3 6" xfId="23719"/>
    <cellStyle name="Примечание 2 2 2 2 3 7" xfId="21241"/>
    <cellStyle name="Примечание 2 2 2 2 4" xfId="5770"/>
    <cellStyle name="Примечание 2 2 2 2 4 2" xfId="20993"/>
    <cellStyle name="Примечание 2 2 2 2 4 3" xfId="22693"/>
    <cellStyle name="Примечание 2 2 2 2 4 4" xfId="20373"/>
    <cellStyle name="Примечание 2 2 2 2 4 5" xfId="20092"/>
    <cellStyle name="Примечание 2 2 2 2 4 6" xfId="22956"/>
    <cellStyle name="Примечание 2 2 2 2 4 7" xfId="21397"/>
    <cellStyle name="Примечание 2 2 2 2 5" xfId="6105"/>
    <cellStyle name="Примечание 2 2 2 2 5 2" xfId="23907"/>
    <cellStyle name="Примечание 2 2 2 2 5 3" xfId="20947"/>
    <cellStyle name="Примечание 2 2 2 2 6" xfId="18950"/>
    <cellStyle name="Примечание 2 2 2 2 6 2" xfId="20121"/>
    <cellStyle name="Примечание 2 2 2 2 7" xfId="20535"/>
    <cellStyle name="Примечание 2 2 2 2 8" xfId="19736"/>
    <cellStyle name="Примечание 2 2 2 2 9" xfId="23600"/>
    <cellStyle name="Примечание 2 2 2 3" xfId="3260"/>
    <cellStyle name="Примечание 2 2 2 3 10" xfId="22236"/>
    <cellStyle name="Примечание 2 2 2 3 2" xfId="5550"/>
    <cellStyle name="Примечание 2 2 2 3 2 2" xfId="5885"/>
    <cellStyle name="Примечание 2 2 2 3 2 2 2" xfId="20537"/>
    <cellStyle name="Примечание 2 2 2 3 2 2 3" xfId="22808"/>
    <cellStyle name="Примечание 2 2 2 3 2 2 4" xfId="21799"/>
    <cellStyle name="Примечание 2 2 2 3 2 2 5" xfId="20936"/>
    <cellStyle name="Примечание 2 2 2 3 2 2 6" xfId="19861"/>
    <cellStyle name="Примечание 2 2 2 3 2 2 7" xfId="21512"/>
    <cellStyle name="Примечание 2 2 2 3 2 3" xfId="6220"/>
    <cellStyle name="Примечание 2 2 2 3 2 3 2" xfId="24022"/>
    <cellStyle name="Примечание 2 2 2 3 2 3 3" xfId="21868"/>
    <cellStyle name="Примечание 2 2 2 3 2 4" xfId="19065"/>
    <cellStyle name="Примечание 2 2 2 3 2 4 2" xfId="22473"/>
    <cellStyle name="Примечание 2 2 2 3 2 5" xfId="23186"/>
    <cellStyle name="Примечание 2 2 2 3 2 6" xfId="23497"/>
    <cellStyle name="Примечание 2 2 2 3 2 7" xfId="23709"/>
    <cellStyle name="Примечание 2 2 2 3 3" xfId="5472"/>
    <cellStyle name="Примечание 2 2 2 3 3 2" xfId="5807"/>
    <cellStyle name="Примечание 2 2 2 3 3 2 2" xfId="19461"/>
    <cellStyle name="Примечание 2 2 2 3 3 2 3" xfId="22730"/>
    <cellStyle name="Примечание 2 2 2 3 3 2 4" xfId="20704"/>
    <cellStyle name="Примечание 2 2 2 3 3 2 5" xfId="21840"/>
    <cellStyle name="Примечание 2 2 2 3 3 2 6" xfId="19543"/>
    <cellStyle name="Примечание 2 2 2 3 3 2 7" xfId="21434"/>
    <cellStyle name="Примечание 2 2 2 3 3 3" xfId="6142"/>
    <cellStyle name="Примечание 2 2 2 3 3 3 2" xfId="23944"/>
    <cellStyle name="Примечание 2 2 2 3 3 3 3" xfId="22087"/>
    <cellStyle name="Примечание 2 2 2 3 3 4" xfId="18987"/>
    <cellStyle name="Примечание 2 2 2 3 3 4 2" xfId="22395"/>
    <cellStyle name="Примечание 2 2 2 3 3 5" xfId="20032"/>
    <cellStyle name="Примечание 2 2 2 3 3 6" xfId="23583"/>
    <cellStyle name="Примечание 2 2 2 3 3 7" xfId="22256"/>
    <cellStyle name="Примечание 2 2 2 3 4" xfId="5577"/>
    <cellStyle name="Примечание 2 2 2 3 4 2" xfId="21919"/>
    <cellStyle name="Примечание 2 2 2 3 4 3" xfId="22500"/>
    <cellStyle name="Примечание 2 2 2 3 4 4" xfId="23367"/>
    <cellStyle name="Примечание 2 2 2 3 4 5" xfId="20335"/>
    <cellStyle name="Примечание 2 2 2 3 4 6" xfId="23805"/>
    <cellStyle name="Примечание 2 2 2 3 4 7" xfId="21278"/>
    <cellStyle name="Примечание 2 2 2 3 5" xfId="5912"/>
    <cellStyle name="Примечание 2 2 2 3 5 2" xfId="20539"/>
    <cellStyle name="Примечание 2 2 2 3 5 3" xfId="22835"/>
    <cellStyle name="Примечание 2 2 2 3 5 4" xfId="22055"/>
    <cellStyle name="Примечание 2 2 2 3 5 5" xfId="23516"/>
    <cellStyle name="Примечание 2 2 2 3 5 6" xfId="22117"/>
    <cellStyle name="Примечание 2 2 2 3 5 7" xfId="21539"/>
    <cellStyle name="Примечание 2 2 2 3 6" xfId="6247"/>
    <cellStyle name="Примечание 2 2 2 3 6 2" xfId="24049"/>
    <cellStyle name="Примечание 2 2 2 3 6 3" xfId="19916"/>
    <cellStyle name="Примечание 2 2 2 3 7" xfId="19092"/>
    <cellStyle name="Примечание 2 2 2 3 7 2" xfId="19535"/>
    <cellStyle name="Примечание 2 2 2 3 8" xfId="20558"/>
    <cellStyle name="Примечание 2 2 2 3 9" xfId="19538"/>
    <cellStyle name="Примечание 2 2 2 4" xfId="5397"/>
    <cellStyle name="Примечание 2 2 2 4 2" xfId="22124"/>
    <cellStyle name="Примечание 2 2 2 4 3" xfId="22320"/>
    <cellStyle name="Примечание 2 2 2 4 4" xfId="23282"/>
    <cellStyle name="Примечание 2 2 2 4 5" xfId="20555"/>
    <cellStyle name="Примечание 2 2 2 4 6" xfId="23686"/>
    <cellStyle name="Примечание 2 2 2 4 7" xfId="21203"/>
    <cellStyle name="Примечание 2 2 2 5" xfId="5732"/>
    <cellStyle name="Примечание 2 2 2 5 2" xfId="19921"/>
    <cellStyle name="Примечание 2 2 2 5 3" xfId="22655"/>
    <cellStyle name="Примечание 2 2 2 5 4" xfId="19377"/>
    <cellStyle name="Примечание 2 2 2 5 5" xfId="21994"/>
    <cellStyle name="Примечание 2 2 2 5 6" xfId="20557"/>
    <cellStyle name="Примечание 2 2 2 5 7" xfId="21359"/>
    <cellStyle name="Примечание 2 2 2 6" xfId="6067"/>
    <cellStyle name="Примечание 2 2 2 6 2" xfId="23869"/>
    <cellStyle name="Примечание 2 2 2 6 3" xfId="21026"/>
    <cellStyle name="Примечание 2 2 2 7" xfId="18912"/>
    <cellStyle name="Примечание 2 2 2 7 2" xfId="20918"/>
    <cellStyle name="Примечание 2 2 2 8" xfId="20825"/>
    <cellStyle name="Примечание 2 2 2 9" xfId="20424"/>
    <cellStyle name="Примечание 2 2 3" xfId="1330"/>
    <cellStyle name="Примечание 2 2 3 2" xfId="3273"/>
    <cellStyle name="Примечание 2 2 3 2 10" xfId="23607"/>
    <cellStyle name="Примечание 2 2 3 2 2" xfId="5463"/>
    <cellStyle name="Примечание 2 2 3 2 2 2" xfId="5798"/>
    <cellStyle name="Примечание 2 2 3 2 2 2 2" xfId="20294"/>
    <cellStyle name="Примечание 2 2 3 2 2 2 3" xfId="22721"/>
    <cellStyle name="Примечание 2 2 3 2 2 2 4" xfId="20858"/>
    <cellStyle name="Примечание 2 2 3 2 2 2 5" xfId="22115"/>
    <cellStyle name="Примечание 2 2 3 2 2 2 6" xfId="21847"/>
    <cellStyle name="Примечание 2 2 3 2 2 2 7" xfId="21425"/>
    <cellStyle name="Примечание 2 2 3 2 2 3" xfId="6133"/>
    <cellStyle name="Примечание 2 2 3 2 2 3 2" xfId="23935"/>
    <cellStyle name="Примечание 2 2 3 2 2 3 3" xfId="22007"/>
    <cellStyle name="Примечание 2 2 3 2 2 4" xfId="18978"/>
    <cellStyle name="Примечание 2 2 3 2 2 4 2" xfId="22386"/>
    <cellStyle name="Примечание 2 2 3 2 2 5" xfId="23216"/>
    <cellStyle name="Примечание 2 2 3 2 2 6" xfId="23031"/>
    <cellStyle name="Примечание 2 2 3 2 2 7" xfId="19436"/>
    <cellStyle name="Примечание 2 2 3 2 3" xfId="5633"/>
    <cellStyle name="Примечание 2 2 3 2 3 2" xfId="5968"/>
    <cellStyle name="Примечание 2 2 3 2 3 2 2" xfId="19232"/>
    <cellStyle name="Примечание 2 2 3 2 3 2 3" xfId="22891"/>
    <cellStyle name="Примечание 2 2 3 2 3 2 4" xfId="21936"/>
    <cellStyle name="Примечание 2 2 3 2 3 2 5" xfId="21657"/>
    <cellStyle name="Примечание 2 2 3 2 3 2 6" xfId="19447"/>
    <cellStyle name="Примечание 2 2 3 2 3 2 7" xfId="21595"/>
    <cellStyle name="Примечание 2 2 3 2 3 3" xfId="6303"/>
    <cellStyle name="Примечание 2 2 3 2 3 3 2" xfId="24105"/>
    <cellStyle name="Примечание 2 2 3 2 3 3 3" xfId="20484"/>
    <cellStyle name="Примечание 2 2 3 2 3 4" xfId="19148"/>
    <cellStyle name="Примечание 2 2 3 2 3 4 2" xfId="22556"/>
    <cellStyle name="Примечание 2 2 3 2 3 5" xfId="23250"/>
    <cellStyle name="Примечание 2 2 3 2 3 6" xfId="19906"/>
    <cellStyle name="Примечание 2 2 3 2 3 7" xfId="22118"/>
    <cellStyle name="Примечание 2 2 3 2 4" xfId="5590"/>
    <cellStyle name="Примечание 2 2 3 2 4 2" xfId="20692"/>
    <cellStyle name="Примечание 2 2 3 2 4 3" xfId="22513"/>
    <cellStyle name="Примечание 2 2 3 2 4 4" xfId="23133"/>
    <cellStyle name="Примечание 2 2 3 2 4 5" xfId="19898"/>
    <cellStyle name="Примечание 2 2 3 2 4 6" xfId="19240"/>
    <cellStyle name="Примечание 2 2 3 2 4 7" xfId="21291"/>
    <cellStyle name="Примечание 2 2 3 2 5" xfId="5925"/>
    <cellStyle name="Примечание 2 2 3 2 5 2" xfId="21790"/>
    <cellStyle name="Примечание 2 2 3 2 5 3" xfId="22848"/>
    <cellStyle name="Примечание 2 2 3 2 5 4" xfId="19631"/>
    <cellStyle name="Примечание 2 2 3 2 5 5" xfId="19569"/>
    <cellStyle name="Примечание 2 2 3 2 5 6" xfId="23156"/>
    <cellStyle name="Примечание 2 2 3 2 5 7" xfId="21552"/>
    <cellStyle name="Примечание 2 2 3 2 6" xfId="6260"/>
    <cellStyle name="Примечание 2 2 3 2 6 2" xfId="24062"/>
    <cellStyle name="Примечание 2 2 3 2 6 3" xfId="20926"/>
    <cellStyle name="Примечание 2 2 3 2 7" xfId="16952"/>
    <cellStyle name="Примечание 2 2 3 2 7 2" xfId="24167"/>
    <cellStyle name="Примечание 2 2 3 2 7 3" xfId="22071"/>
    <cellStyle name="Примечание 2 2 3 2 8" xfId="19105"/>
    <cellStyle name="Примечание 2 2 3 2 8 2" xfId="20374"/>
    <cellStyle name="Примечание 2 2 3 2 9" xfId="20496"/>
    <cellStyle name="Примечание 2 2 3 3" xfId="5410"/>
    <cellStyle name="Примечание 2 2 3 3 2" xfId="21118"/>
    <cellStyle name="Примечание 2 2 3 3 3" xfId="22333"/>
    <cellStyle name="Примечание 2 2 3 3 4" xfId="23127"/>
    <cellStyle name="Примечание 2 2 3 3 5" xfId="23449"/>
    <cellStyle name="Примечание 2 2 3 3 6" xfId="19605"/>
    <cellStyle name="Примечание 2 2 3 3 7" xfId="21216"/>
    <cellStyle name="Примечание 2 2 3 4" xfId="5745"/>
    <cellStyle name="Примечание 2 2 3 4 2" xfId="19248"/>
    <cellStyle name="Примечание 2 2 3 4 3" xfId="22668"/>
    <cellStyle name="Примечание 2 2 3 4 4" xfId="20702"/>
    <cellStyle name="Примечание 2 2 3 4 5" xfId="21835"/>
    <cellStyle name="Примечание 2 2 3 4 6" xfId="19484"/>
    <cellStyle name="Примечание 2 2 3 4 7" xfId="21372"/>
    <cellStyle name="Примечание 2 2 3 5" xfId="6080"/>
    <cellStyle name="Примечание 2 2 3 5 2" xfId="23882"/>
    <cellStyle name="Примечание 2 2 3 5 3" xfId="21870"/>
    <cellStyle name="Примечание 2 2 3 6" xfId="18925"/>
    <cellStyle name="Примечание 2 2 3 6 2" xfId="19386"/>
    <cellStyle name="Примечание 2 2 3 7" xfId="23087"/>
    <cellStyle name="Примечание 2 2 3 8" xfId="20366"/>
    <cellStyle name="Примечание 2 2 3 9" xfId="23735"/>
    <cellStyle name="Примечание 2 2 4" xfId="1731"/>
    <cellStyle name="Примечание 2 2 4 2" xfId="3287"/>
    <cellStyle name="Примечание 2 2 4 2 10" xfId="21681"/>
    <cellStyle name="Примечание 2 2 4 2 2" xfId="5462"/>
    <cellStyle name="Примечание 2 2 4 2 2 2" xfId="5797"/>
    <cellStyle name="Примечание 2 2 4 2 2 2 2" xfId="20699"/>
    <cellStyle name="Примечание 2 2 4 2 2 2 3" xfId="22720"/>
    <cellStyle name="Примечание 2 2 4 2 2 2 4" xfId="22211"/>
    <cellStyle name="Примечание 2 2 4 2 2 2 5" xfId="20409"/>
    <cellStyle name="Примечание 2 2 4 2 2 2 6" xfId="20096"/>
    <cellStyle name="Примечание 2 2 4 2 2 2 7" xfId="21424"/>
    <cellStyle name="Примечание 2 2 4 2 2 3" xfId="6132"/>
    <cellStyle name="Примечание 2 2 4 2 2 3 2" xfId="23934"/>
    <cellStyle name="Примечание 2 2 4 2 2 3 3" xfId="19826"/>
    <cellStyle name="Примечание 2 2 4 2 2 4" xfId="18977"/>
    <cellStyle name="Примечание 2 2 4 2 2 4 2" xfId="22385"/>
    <cellStyle name="Примечание 2 2 4 2 2 5" xfId="22085"/>
    <cellStyle name="Примечание 2 2 4 2 2 6" xfId="23188"/>
    <cellStyle name="Примечание 2 2 4 2 2 7" xfId="23438"/>
    <cellStyle name="Примечание 2 2 4 2 3" xfId="5515"/>
    <cellStyle name="Примечание 2 2 4 2 3 2" xfId="5850"/>
    <cellStyle name="Примечание 2 2 4 2 3 2 2" xfId="21789"/>
    <cellStyle name="Примечание 2 2 4 2 3 2 3" xfId="22773"/>
    <cellStyle name="Примечание 2 2 4 2 3 2 4" xfId="21723"/>
    <cellStyle name="Примечание 2 2 4 2 3 2 5" xfId="23218"/>
    <cellStyle name="Примечание 2 2 4 2 3 2 6" xfId="23088"/>
    <cellStyle name="Примечание 2 2 4 2 3 2 7" xfId="21477"/>
    <cellStyle name="Примечание 2 2 4 2 3 3" xfId="6185"/>
    <cellStyle name="Примечание 2 2 4 2 3 3 2" xfId="23987"/>
    <cellStyle name="Примечание 2 2 4 2 3 3 3" xfId="20745"/>
    <cellStyle name="Примечание 2 2 4 2 3 4" xfId="19030"/>
    <cellStyle name="Примечание 2 2 4 2 3 4 2" xfId="22438"/>
    <cellStyle name="Примечание 2 2 4 2 3 5" xfId="23361"/>
    <cellStyle name="Примечание 2 2 4 2 3 6" xfId="19743"/>
    <cellStyle name="Примечание 2 2 4 2 3 7" xfId="20726"/>
    <cellStyle name="Примечание 2 2 4 2 4" xfId="5604"/>
    <cellStyle name="Примечание 2 2 4 2 4 2" xfId="19335"/>
    <cellStyle name="Примечание 2 2 4 2 4 3" xfId="22527"/>
    <cellStyle name="Примечание 2 2 4 2 4 4" xfId="23147"/>
    <cellStyle name="Примечание 2 2 4 2 4 5" xfId="20488"/>
    <cellStyle name="Примечание 2 2 4 2 4 6" xfId="20980"/>
    <cellStyle name="Примечание 2 2 4 2 4 7" xfId="21305"/>
    <cellStyle name="Примечание 2 2 4 2 5" xfId="5939"/>
    <cellStyle name="Примечание 2 2 4 2 5 2" xfId="21002"/>
    <cellStyle name="Примечание 2 2 4 2 5 3" xfId="22862"/>
    <cellStyle name="Примечание 2 2 4 2 5 4" xfId="20039"/>
    <cellStyle name="Примечание 2 2 4 2 5 5" xfId="23461"/>
    <cellStyle name="Примечание 2 2 4 2 5 6" xfId="23139"/>
    <cellStyle name="Примечание 2 2 4 2 5 7" xfId="21566"/>
    <cellStyle name="Примечание 2 2 4 2 6" xfId="6274"/>
    <cellStyle name="Примечание 2 2 4 2 6 2" xfId="24076"/>
    <cellStyle name="Примечание 2 2 4 2 6 3" xfId="20538"/>
    <cellStyle name="Примечание 2 2 4 2 7" xfId="19119"/>
    <cellStyle name="Примечание 2 2 4 2 7 2" xfId="20571"/>
    <cellStyle name="Примечание 2 2 4 2 8" xfId="19296"/>
    <cellStyle name="Примечание 2 2 4 2 9" xfId="22250"/>
    <cellStyle name="Примечание 2 2 4 3" xfId="5424"/>
    <cellStyle name="Примечание 2 2 4 3 2" xfId="20438"/>
    <cellStyle name="Примечание 2 2 4 3 3" xfId="22347"/>
    <cellStyle name="Примечание 2 2 4 3 4" xfId="23166"/>
    <cellStyle name="Примечание 2 2 4 3 5" xfId="23251"/>
    <cellStyle name="Примечание 2 2 4 3 6" xfId="20948"/>
    <cellStyle name="Примечание 2 2 4 3 7" xfId="21230"/>
    <cellStyle name="Примечание 2 2 4 4" xfId="5759"/>
    <cellStyle name="Примечание 2 2 4 4 2" xfId="21111"/>
    <cellStyle name="Примечание 2 2 4 4 3" xfId="22682"/>
    <cellStyle name="Примечание 2 2 4 4 4" xfId="20062"/>
    <cellStyle name="Примечание 2 2 4 4 5" xfId="23543"/>
    <cellStyle name="Примечание 2 2 4 4 6" xfId="20474"/>
    <cellStyle name="Примечание 2 2 4 4 7" xfId="21386"/>
    <cellStyle name="Примечание 2 2 4 5" xfId="6094"/>
    <cellStyle name="Примечание 2 2 4 5 2" xfId="23896"/>
    <cellStyle name="Примечание 2 2 4 5 3" xfId="20394"/>
    <cellStyle name="Примечание 2 2 4 6" xfId="18939"/>
    <cellStyle name="Примечание 2 2 4 6 2" xfId="21986"/>
    <cellStyle name="Примечание 2 2 4 7" xfId="20492"/>
    <cellStyle name="Примечание 2 2 4 8" xfId="19581"/>
    <cellStyle name="Примечание 2 2 4 9" xfId="23650"/>
    <cellStyle name="Примечание 2 2 5" xfId="3095"/>
    <cellStyle name="Примечание 2 2 5 10" xfId="23795"/>
    <cellStyle name="Примечание 2 2 5 2" xfId="5512"/>
    <cellStyle name="Примечание 2 2 5 2 2" xfId="5847"/>
    <cellStyle name="Примечание 2 2 5 2 2 2" xfId="20104"/>
    <cellStyle name="Примечание 2 2 5 2 2 3" xfId="22770"/>
    <cellStyle name="Примечание 2 2 5 2 2 4" xfId="19411"/>
    <cellStyle name="Примечание 2 2 5 2 2 5" xfId="19553"/>
    <cellStyle name="Примечание 2 2 5 2 2 6" xfId="20822"/>
    <cellStyle name="Примечание 2 2 5 2 2 7" xfId="21474"/>
    <cellStyle name="Примечание 2 2 5 2 3" xfId="6182"/>
    <cellStyle name="Примечание 2 2 5 2 3 2" xfId="23984"/>
    <cellStyle name="Примечание 2 2 5 2 3 3" xfId="21886"/>
    <cellStyle name="Примечание 2 2 5 2 4" xfId="19027"/>
    <cellStyle name="Примечание 2 2 5 2 4 2" xfId="22435"/>
    <cellStyle name="Примечание 2 2 5 2 5" xfId="23020"/>
    <cellStyle name="Примечание 2 2 5 2 6" xfId="19242"/>
    <cellStyle name="Примечание 2 2 5 2 7" xfId="23815"/>
    <cellStyle name="Примечание 2 2 5 3" xfId="5684"/>
    <cellStyle name="Примечание 2 2 5 3 2" xfId="6019"/>
    <cellStyle name="Примечание 2 2 5 3 2 2" xfId="19595"/>
    <cellStyle name="Примечание 2 2 5 3 2 3" xfId="22942"/>
    <cellStyle name="Примечание 2 2 5 3 2 4" xfId="23414"/>
    <cellStyle name="Примечание 2 2 5 3 2 5" xfId="23640"/>
    <cellStyle name="Примечание 2 2 5 3 2 6" xfId="20208"/>
    <cellStyle name="Примечание 2 2 5 3 2 7" xfId="21646"/>
    <cellStyle name="Примечание 2 2 5 3 3" xfId="6354"/>
    <cellStyle name="Примечание 2 2 5 3 3 2" xfId="24156"/>
    <cellStyle name="Примечание 2 2 5 3 3 3" xfId="21959"/>
    <cellStyle name="Примечание 2 2 5 3 4" xfId="19199"/>
    <cellStyle name="Примечание 2 2 5 3 4 2" xfId="22607"/>
    <cellStyle name="Примечание 2 2 5 3 5" xfId="23002"/>
    <cellStyle name="Примечание 2 2 5 3 6" xfId="21773"/>
    <cellStyle name="Примечание 2 2 5 3 7" xfId="23047"/>
    <cellStyle name="Примечание 2 2 5 4" xfId="5386"/>
    <cellStyle name="Примечание 2 2 5 4 2" xfId="21114"/>
    <cellStyle name="Примечание 2 2 5 4 3" xfId="22309"/>
    <cellStyle name="Примечание 2 2 5 4 4" xfId="23170"/>
    <cellStyle name="Примечание 2 2 5 4 5" xfId="23106"/>
    <cellStyle name="Примечание 2 2 5 4 6" xfId="21046"/>
    <cellStyle name="Примечание 2 2 5 4 7" xfId="21192"/>
    <cellStyle name="Примечание 2 2 5 5" xfId="5721"/>
    <cellStyle name="Примечание 2 2 5 5 2" xfId="20071"/>
    <cellStyle name="Примечание 2 2 5 5 3" xfId="22644"/>
    <cellStyle name="Примечание 2 2 5 5 4" xfId="20950"/>
    <cellStyle name="Примечание 2 2 5 5 5" xfId="23095"/>
    <cellStyle name="Примечание 2 2 5 5 6" xfId="19748"/>
    <cellStyle name="Примечание 2 2 5 5 7" xfId="21348"/>
    <cellStyle name="Примечание 2 2 5 6" xfId="6056"/>
    <cellStyle name="Примечание 2 2 5 6 2" xfId="23858"/>
    <cellStyle name="Примечание 2 2 5 6 3" xfId="22032"/>
    <cellStyle name="Примечание 2 2 5 7" xfId="18901"/>
    <cellStyle name="Примечание 2 2 5 7 2" xfId="20746"/>
    <cellStyle name="Примечание 2 2 5 8" xfId="19544"/>
    <cellStyle name="Примечание 2 2 5 9" xfId="20707"/>
    <cellStyle name="Примечание 2 2 6" xfId="3249"/>
    <cellStyle name="Примечание 2 2 6 10" xfId="20352"/>
    <cellStyle name="Примечание 2 2 6 2" xfId="5539"/>
    <cellStyle name="Примечание 2 2 6 2 2" xfId="5874"/>
    <cellStyle name="Примечание 2 2 6 2 2 2" xfId="19562"/>
    <cellStyle name="Примечание 2 2 6 2 2 3" xfId="22797"/>
    <cellStyle name="Примечание 2 2 6 2 2 4" xfId="19488"/>
    <cellStyle name="Примечание 2 2 6 2 2 5" xfId="19614"/>
    <cellStyle name="Примечание 2 2 6 2 2 6" xfId="22259"/>
    <cellStyle name="Примечание 2 2 6 2 2 7" xfId="21501"/>
    <cellStyle name="Примечание 2 2 6 2 3" xfId="6209"/>
    <cellStyle name="Примечание 2 2 6 2 3 2" xfId="24011"/>
    <cellStyle name="Примечание 2 2 6 2 3 3" xfId="21961"/>
    <cellStyle name="Примечание 2 2 6 2 4" xfId="19054"/>
    <cellStyle name="Примечание 2 2 6 2 4 2" xfId="22462"/>
    <cellStyle name="Примечание 2 2 6 2 5" xfId="20253"/>
    <cellStyle name="Примечание 2 2 6 2 6" xfId="23617"/>
    <cellStyle name="Примечание 2 2 6 2 7" xfId="21058"/>
    <cellStyle name="Примечание 2 2 6 3" xfId="5526"/>
    <cellStyle name="Примечание 2 2 6 3 2" xfId="5861"/>
    <cellStyle name="Примечание 2 2 6 3 2 2" xfId="19231"/>
    <cellStyle name="Примечание 2 2 6 3 2 3" xfId="22784"/>
    <cellStyle name="Примечание 2 2 6 3 2 4" xfId="20216"/>
    <cellStyle name="Примечание 2 2 6 3 2 5" xfId="19504"/>
    <cellStyle name="Примечание 2 2 6 3 2 6" xfId="19669"/>
    <cellStyle name="Примечание 2 2 6 3 2 7" xfId="21488"/>
    <cellStyle name="Примечание 2 2 6 3 3" xfId="6196"/>
    <cellStyle name="Примечание 2 2 6 3 3 2" xfId="23998"/>
    <cellStyle name="Примечание 2 2 6 3 3 3" xfId="19648"/>
    <cellStyle name="Примечание 2 2 6 3 4" xfId="19041"/>
    <cellStyle name="Примечание 2 2 6 3 4 2" xfId="22449"/>
    <cellStyle name="Примечание 2 2 6 3 5" xfId="23150"/>
    <cellStyle name="Примечание 2 2 6 3 6" xfId="22951"/>
    <cellStyle name="Примечание 2 2 6 3 7" xfId="23452"/>
    <cellStyle name="Примечание 2 2 6 4" xfId="5566"/>
    <cellStyle name="Примечание 2 2 6 4 2" xfId="21971"/>
    <cellStyle name="Примечание 2 2 6 4 3" xfId="22489"/>
    <cellStyle name="Примечание 2 2 6 4 4" xfId="23304"/>
    <cellStyle name="Примечание 2 2 6 4 5" xfId="20413"/>
    <cellStyle name="Примечание 2 2 6 4 6" xfId="23455"/>
    <cellStyle name="Примечание 2 2 6 4 7" xfId="21267"/>
    <cellStyle name="Примечание 2 2 6 5" xfId="5901"/>
    <cellStyle name="Примечание 2 2 6 5 2" xfId="19466"/>
    <cellStyle name="Примечание 2 2 6 5 3" xfId="22824"/>
    <cellStyle name="Примечание 2 2 6 5 4" xfId="19401"/>
    <cellStyle name="Примечание 2 2 6 5 5" xfId="21105"/>
    <cellStyle name="Примечание 2 2 6 5 6" xfId="22077"/>
    <cellStyle name="Примечание 2 2 6 5 7" xfId="21528"/>
    <cellStyle name="Примечание 2 2 6 6" xfId="6236"/>
    <cellStyle name="Примечание 2 2 6 6 2" xfId="24038"/>
    <cellStyle name="Примечание 2 2 6 6 3" xfId="21137"/>
    <cellStyle name="Примечание 2 2 6 7" xfId="19081"/>
    <cellStyle name="Примечание 2 2 6 7 2" xfId="19603"/>
    <cellStyle name="Примечание 2 2 6 8" xfId="19804"/>
    <cellStyle name="Примечание 2 2 6 9" xfId="21031"/>
    <cellStyle name="Примечание 2 2 7" xfId="5367"/>
    <cellStyle name="Примечание 2 2 7 2" xfId="20134"/>
    <cellStyle name="Примечание 2 2 7 3" xfId="22290"/>
    <cellStyle name="Примечание 2 2 7 4" xfId="23378"/>
    <cellStyle name="Примечание 2 2 7 5" xfId="23517"/>
    <cellStyle name="Примечание 2 2 7 6" xfId="19694"/>
    <cellStyle name="Примечание 2 2 7 7" xfId="21173"/>
    <cellStyle name="Примечание 2 2 8" xfId="5702"/>
    <cellStyle name="Примечание 2 2 8 2" xfId="21939"/>
    <cellStyle name="Примечание 2 2 8 3" xfId="22625"/>
    <cellStyle name="Примечание 2 2 8 4" xfId="19907"/>
    <cellStyle name="Примечание 2 2 8 5" xfId="22989"/>
    <cellStyle name="Примечание 2 2 8 6" xfId="23723"/>
    <cellStyle name="Примечание 2 2 8 7" xfId="21329"/>
    <cellStyle name="Примечание 2 2 9" xfId="6037"/>
    <cellStyle name="Примечание 2 2 9 2" xfId="23839"/>
    <cellStyle name="Примечание 2 2 9 3" xfId="19551"/>
    <cellStyle name="Примечание 2 3" xfId="448"/>
    <cellStyle name="Примечание 2 3 10" xfId="19686"/>
    <cellStyle name="Примечание 2 3 11" xfId="19650"/>
    <cellStyle name="Примечание 2 3 12" xfId="21010"/>
    <cellStyle name="Примечание 2 3 2" xfId="1732"/>
    <cellStyle name="Примечание 2 3 2 2" xfId="3288"/>
    <cellStyle name="Примечание 2 3 2 2 10" xfId="20239"/>
    <cellStyle name="Примечание 2 3 2 2 2" xfId="5639"/>
    <cellStyle name="Примечание 2 3 2 2 2 2" xfId="5974"/>
    <cellStyle name="Примечание 2 3 2 2 2 2 2" xfId="20732"/>
    <cellStyle name="Примечание 2 3 2 2 2 2 3" xfId="22897"/>
    <cellStyle name="Примечание 2 3 2 2 2 2 4" xfId="22128"/>
    <cellStyle name="Примечание 2 3 2 2 2 2 5" xfId="19467"/>
    <cellStyle name="Примечание 2 3 2 2 2 2 6" xfId="20650"/>
    <cellStyle name="Примечание 2 3 2 2 2 2 7" xfId="21601"/>
    <cellStyle name="Примечание 2 3 2 2 2 3" xfId="6309"/>
    <cellStyle name="Примечание 2 3 2 2 2 3 2" xfId="24111"/>
    <cellStyle name="Примечание 2 3 2 2 2 3 3" xfId="20047"/>
    <cellStyle name="Примечание 2 3 2 2 2 4" xfId="19154"/>
    <cellStyle name="Примечание 2 3 2 2 2 4 2" xfId="22562"/>
    <cellStyle name="Примечание 2 3 2 2 2 5" xfId="23135"/>
    <cellStyle name="Примечание 2 3 2 2 2 6" xfId="19837"/>
    <cellStyle name="Примечание 2 3 2 2 2 7" xfId="19763"/>
    <cellStyle name="Примечание 2 3 2 2 3" xfId="5452"/>
    <cellStyle name="Примечание 2 3 2 2 3 2" xfId="5787"/>
    <cellStyle name="Примечание 2 3 2 2 3 2 2" xfId="19977"/>
    <cellStyle name="Примечание 2 3 2 2 3 2 3" xfId="22710"/>
    <cellStyle name="Примечание 2 3 2 2 3 2 4" xfId="23040"/>
    <cellStyle name="Примечание 2 3 2 2 3 2 5" xfId="20528"/>
    <cellStyle name="Примечание 2 3 2 2 3 2 6" xfId="20606"/>
    <cellStyle name="Примечание 2 3 2 2 3 2 7" xfId="21414"/>
    <cellStyle name="Примечание 2 3 2 2 3 3" xfId="6122"/>
    <cellStyle name="Примечание 2 3 2 2 3 3 2" xfId="23924"/>
    <cellStyle name="Примечание 2 3 2 2 3 3 3" xfId="21905"/>
    <cellStyle name="Примечание 2 3 2 2 3 4" xfId="18967"/>
    <cellStyle name="Примечание 2 3 2 2 3 4 2" xfId="22375"/>
    <cellStyle name="Примечание 2 3 2 2 3 5" xfId="21113"/>
    <cellStyle name="Примечание 2 3 2 2 3 6" xfId="21662"/>
    <cellStyle name="Примечание 2 3 2 2 3 7" xfId="23677"/>
    <cellStyle name="Примечание 2 3 2 2 4" xfId="5605"/>
    <cellStyle name="Примечание 2 3 2 2 4 2" xfId="21950"/>
    <cellStyle name="Примечание 2 3 2 2 4 3" xfId="22528"/>
    <cellStyle name="Примечание 2 3 2 2 4 4" xfId="20452"/>
    <cellStyle name="Примечание 2 3 2 2 4 5" xfId="19381"/>
    <cellStyle name="Примечание 2 3 2 2 4 6" xfId="23722"/>
    <cellStyle name="Примечание 2 3 2 2 4 7" xfId="21306"/>
    <cellStyle name="Примечание 2 3 2 2 5" xfId="5940"/>
    <cellStyle name="Примечание 2 3 2 2 5 2" xfId="20450"/>
    <cellStyle name="Примечание 2 3 2 2 5 3" xfId="22863"/>
    <cellStyle name="Примечание 2 3 2 2 5 4" xfId="20554"/>
    <cellStyle name="Примечание 2 3 2 2 5 5" xfId="20004"/>
    <cellStyle name="Примечание 2 3 2 2 5 6" xfId="19366"/>
    <cellStyle name="Примечание 2 3 2 2 5 7" xfId="21567"/>
    <cellStyle name="Примечание 2 3 2 2 6" xfId="6275"/>
    <cellStyle name="Примечание 2 3 2 2 6 2" xfId="24077"/>
    <cellStyle name="Примечание 2 3 2 2 6 3" xfId="21131"/>
    <cellStyle name="Примечание 2 3 2 2 7" xfId="19120"/>
    <cellStyle name="Примечание 2 3 2 2 7 2" xfId="21128"/>
    <cellStyle name="Примечание 2 3 2 2 8" xfId="20046"/>
    <cellStyle name="Примечание 2 3 2 2 9" xfId="20167"/>
    <cellStyle name="Примечание 2 3 2 3" xfId="5425"/>
    <cellStyle name="Примечание 2 3 2 3 2" xfId="21884"/>
    <cellStyle name="Примечание 2 3 2 3 3" xfId="22348"/>
    <cellStyle name="Примечание 2 3 2 3 4" xfId="21721"/>
    <cellStyle name="Примечание 2 3 2 3 5" xfId="23422"/>
    <cellStyle name="Примечание 2 3 2 3 6" xfId="23810"/>
    <cellStyle name="Примечание 2 3 2 3 7" xfId="21231"/>
    <cellStyle name="Примечание 2 3 2 4" xfId="5760"/>
    <cellStyle name="Примечание 2 3 2 4 2" xfId="20582"/>
    <cellStyle name="Примечание 2 3 2 4 3" xfId="22683"/>
    <cellStyle name="Примечание 2 3 2 4 4" xfId="21964"/>
    <cellStyle name="Примечание 2 3 2 4 5" xfId="21682"/>
    <cellStyle name="Примечание 2 3 2 4 6" xfId="23426"/>
    <cellStyle name="Примечание 2 3 2 4 7" xfId="21387"/>
    <cellStyle name="Примечание 2 3 2 5" xfId="6095"/>
    <cellStyle name="Примечание 2 3 2 5 2" xfId="23897"/>
    <cellStyle name="Примечание 2 3 2 5 3" xfId="21911"/>
    <cellStyle name="Примечание 2 3 2 6" xfId="18940"/>
    <cellStyle name="Примечание 2 3 2 6 2" xfId="20371"/>
    <cellStyle name="Примечание 2 3 2 7" xfId="19254"/>
    <cellStyle name="Примечание 2 3 2 8" xfId="23515"/>
    <cellStyle name="Примечание 2 3 2 9" xfId="21698"/>
    <cellStyle name="Примечание 2 3 3" xfId="3096"/>
    <cellStyle name="Примечание 2 3 3 10" xfId="20055"/>
    <cellStyle name="Примечание 2 3 3 2" xfId="5520"/>
    <cellStyle name="Примечание 2 3 3 2 2" xfId="5855"/>
    <cellStyle name="Примечание 2 3 3 2 2 2" xfId="20869"/>
    <cellStyle name="Примечание 2 3 3 2 2 3" xfId="22778"/>
    <cellStyle name="Примечание 2 3 3 2 2 4" xfId="21669"/>
    <cellStyle name="Примечание 2 3 3 2 2 5" xfId="23471"/>
    <cellStyle name="Примечание 2 3 3 2 2 6" xfId="23556"/>
    <cellStyle name="Примечание 2 3 3 2 2 7" xfId="21482"/>
    <cellStyle name="Примечание 2 3 3 2 3" xfId="6190"/>
    <cellStyle name="Примечание 2 3 3 2 3 2" xfId="23992"/>
    <cellStyle name="Примечание 2 3 3 2 3 3" xfId="19629"/>
    <cellStyle name="Примечание 2 3 3 2 4" xfId="19035"/>
    <cellStyle name="Примечание 2 3 3 2 4 2" xfId="22443"/>
    <cellStyle name="Примечание 2 3 3 2 5" xfId="20848"/>
    <cellStyle name="Примечание 2 3 3 2 6" xfId="19325"/>
    <cellStyle name="Примечание 2 3 3 2 7" xfId="21030"/>
    <cellStyle name="Примечание 2 3 3 3" xfId="5685"/>
    <cellStyle name="Примечание 2 3 3 3 2" xfId="6020"/>
    <cellStyle name="Примечание 2 3 3 3 2 2" xfId="19914"/>
    <cellStyle name="Примечание 2 3 3 3 2 3" xfId="22943"/>
    <cellStyle name="Примечание 2 3 3 3 2 4" xfId="23415"/>
    <cellStyle name="Примечание 2 3 3 3 2 5" xfId="23641"/>
    <cellStyle name="Примечание 2 3 3 3 2 6" xfId="23579"/>
    <cellStyle name="Примечание 2 3 3 3 2 7" xfId="21647"/>
    <cellStyle name="Примечание 2 3 3 3 3" xfId="6355"/>
    <cellStyle name="Примечание 2 3 3 3 3 2" xfId="24157"/>
    <cellStyle name="Примечание 2 3 3 3 3 3" xfId="20629"/>
    <cellStyle name="Примечание 2 3 3 3 4" xfId="19200"/>
    <cellStyle name="Примечание 2 3 3 3 4 2" xfId="22608"/>
    <cellStyle name="Примечание 2 3 3 3 5" xfId="23314"/>
    <cellStyle name="Примечание 2 3 3 3 6" xfId="22966"/>
    <cellStyle name="Примечание 2 3 3 3 7" xfId="23679"/>
    <cellStyle name="Примечание 2 3 3 4" xfId="5387"/>
    <cellStyle name="Примечание 2 3 3 4 2" xfId="22133"/>
    <cellStyle name="Примечание 2 3 3 4 3" xfId="22310"/>
    <cellStyle name="Примечание 2 3 3 4 4" xfId="20709"/>
    <cellStyle name="Примечание 2 3 3 4 5" xfId="20683"/>
    <cellStyle name="Примечание 2 3 3 4 6" xfId="22274"/>
    <cellStyle name="Примечание 2 3 3 4 7" xfId="21193"/>
    <cellStyle name="Примечание 2 3 3 5" xfId="5722"/>
    <cellStyle name="Примечание 2 3 3 5 2" xfId="22096"/>
    <cellStyle name="Примечание 2 3 3 5 3" xfId="22645"/>
    <cellStyle name="Примечание 2 3 3 5 4" xfId="19476"/>
    <cellStyle name="Примечание 2 3 3 5 5" xfId="23629"/>
    <cellStyle name="Примечание 2 3 3 5 6" xfId="19658"/>
    <cellStyle name="Примечание 2 3 3 5 7" xfId="21349"/>
    <cellStyle name="Примечание 2 3 3 6" xfId="6057"/>
    <cellStyle name="Примечание 2 3 3 6 2" xfId="23859"/>
    <cellStyle name="Примечание 2 3 3 6 3" xfId="19656"/>
    <cellStyle name="Примечание 2 3 3 7" xfId="18902"/>
    <cellStyle name="Примечание 2 3 3 7 2" xfId="20428"/>
    <cellStyle name="Примечание 2 3 3 8" xfId="22196"/>
    <cellStyle name="Примечание 2 3 3 9" xfId="23448"/>
    <cellStyle name="Примечание 2 3 4" xfId="2863"/>
    <cellStyle name="Примечание 2 3 4 10" xfId="21685"/>
    <cellStyle name="Примечание 2 3 4 2" xfId="5494"/>
    <cellStyle name="Примечание 2 3 4 2 2" xfId="5829"/>
    <cellStyle name="Примечание 2 3 4 2 2 2" xfId="19487"/>
    <cellStyle name="Примечание 2 3 4 2 2 3" xfId="22752"/>
    <cellStyle name="Примечание 2 3 4 2 2 4" xfId="19332"/>
    <cellStyle name="Примечание 2 3 4 2 2 5" xfId="21759"/>
    <cellStyle name="Примечание 2 3 4 2 2 6" xfId="19251"/>
    <cellStyle name="Примечание 2 3 4 2 2 7" xfId="21456"/>
    <cellStyle name="Примечание 2 3 4 2 3" xfId="6164"/>
    <cellStyle name="Примечание 2 3 4 2 3 2" xfId="23966"/>
    <cellStyle name="Примечание 2 3 4 2 3 3" xfId="21920"/>
    <cellStyle name="Примечание 2 3 4 2 4" xfId="19009"/>
    <cellStyle name="Примечание 2 3 4 2 4 2" xfId="22417"/>
    <cellStyle name="Примечание 2 3 4 2 5" xfId="19399"/>
    <cellStyle name="Примечание 2 3 4 2 6" xfId="19796"/>
    <cellStyle name="Примечание 2 3 4 2 7" xfId="23676"/>
    <cellStyle name="Примечание 2 3 4 3" xfId="5676"/>
    <cellStyle name="Примечание 2 3 4 3 2" xfId="6011"/>
    <cellStyle name="Примечание 2 3 4 3 2 2" xfId="19791"/>
    <cellStyle name="Примечание 2 3 4 3 2 3" xfId="22934"/>
    <cellStyle name="Примечание 2 3 4 3 2 4" xfId="23406"/>
    <cellStyle name="Примечание 2 3 4 3 2 5" xfId="23632"/>
    <cellStyle name="Примечание 2 3 4 3 2 6" xfId="23544"/>
    <cellStyle name="Примечание 2 3 4 3 2 7" xfId="21638"/>
    <cellStyle name="Примечание 2 3 4 3 3" xfId="6346"/>
    <cellStyle name="Примечание 2 3 4 3 3 2" xfId="24148"/>
    <cellStyle name="Примечание 2 3 4 3 3 3" xfId="20887"/>
    <cellStyle name="Примечание 2 3 4 3 4" xfId="19191"/>
    <cellStyle name="Примечание 2 3 4 3 4 2" xfId="22599"/>
    <cellStyle name="Примечание 2 3 4 3 5" xfId="23125"/>
    <cellStyle name="Примечание 2 3 4 3 6" xfId="19706"/>
    <cellStyle name="Примечание 2 3 4 3 7" xfId="19565"/>
    <cellStyle name="Примечание 2 3 4 4" xfId="5440"/>
    <cellStyle name="Примечание 2 3 4 4 2" xfId="19667"/>
    <cellStyle name="Примечание 2 3 4 4 3" xfId="22363"/>
    <cellStyle name="Примечание 2 3 4 4 4" xfId="23113"/>
    <cellStyle name="Примечание 2 3 4 4 5" xfId="23425"/>
    <cellStyle name="Примечание 2 3 4 4 6" xfId="19409"/>
    <cellStyle name="Примечание 2 3 4 4 7" xfId="21246"/>
    <cellStyle name="Примечание 2 3 4 5" xfId="5775"/>
    <cellStyle name="Примечание 2 3 4 5 2" xfId="20835"/>
    <cellStyle name="Примечание 2 3 4 5 3" xfId="22698"/>
    <cellStyle name="Примечание 2 3 4 5 4" xfId="23272"/>
    <cellStyle name="Примечание 2 3 4 5 5" xfId="22105"/>
    <cellStyle name="Примечание 2 3 4 5 6" xfId="20793"/>
    <cellStyle name="Примечание 2 3 4 5 7" xfId="21402"/>
    <cellStyle name="Примечание 2 3 4 6" xfId="6110"/>
    <cellStyle name="Примечание 2 3 4 6 2" xfId="23912"/>
    <cellStyle name="Примечание 2 3 4 6 3" xfId="20501"/>
    <cellStyle name="Примечание 2 3 4 7" xfId="18955"/>
    <cellStyle name="Примечание 2 3 4 7 2" xfId="20543"/>
    <cellStyle name="Примечание 2 3 4 8" xfId="22963"/>
    <cellStyle name="Примечание 2 3 4 9" xfId="22239"/>
    <cellStyle name="Примечание 2 3 5" xfId="3250"/>
    <cellStyle name="Примечание 2 3 5 10" xfId="20895"/>
    <cellStyle name="Примечание 2 3 5 2" xfId="5629"/>
    <cellStyle name="Примечание 2 3 5 2 2" xfId="5964"/>
    <cellStyle name="Примечание 2 3 5 2 2 2" xfId="20152"/>
    <cellStyle name="Примечание 2 3 5 2 2 3" xfId="22887"/>
    <cellStyle name="Примечание 2 3 5 2 2 4" xfId="20073"/>
    <cellStyle name="Примечание 2 3 5 2 2 5" xfId="19574"/>
    <cellStyle name="Примечание 2 3 5 2 2 6" xfId="23498"/>
    <cellStyle name="Примечание 2 3 5 2 2 7" xfId="21591"/>
    <cellStyle name="Примечание 2 3 5 2 3" xfId="6299"/>
    <cellStyle name="Примечание 2 3 5 2 3 2" xfId="24101"/>
    <cellStyle name="Примечание 2 3 5 2 3 3" xfId="20888"/>
    <cellStyle name="Примечание 2 3 5 2 4" xfId="19144"/>
    <cellStyle name="Примечание 2 3 5 2 4 2" xfId="22552"/>
    <cellStyle name="Примечание 2 3 5 2 5" xfId="23306"/>
    <cellStyle name="Примечание 2 3 5 2 6" xfId="20847"/>
    <cellStyle name="Примечание 2 3 5 2 7" xfId="19982"/>
    <cellStyle name="Примечание 2 3 5 3" xfId="5500"/>
    <cellStyle name="Примечание 2 3 5 3 2" xfId="5835"/>
    <cellStyle name="Примечание 2 3 5 3 2 2" xfId="19675"/>
    <cellStyle name="Примечание 2 3 5 3 2 3" xfId="22758"/>
    <cellStyle name="Примечание 2 3 5 3 2 4" xfId="19501"/>
    <cellStyle name="Примечание 2 3 5 3 2 5" xfId="19779"/>
    <cellStyle name="Примечание 2 3 5 3 2 6" xfId="23665"/>
    <cellStyle name="Примечание 2 3 5 3 2 7" xfId="21462"/>
    <cellStyle name="Примечание 2 3 5 3 3" xfId="6170"/>
    <cellStyle name="Примечание 2 3 5 3 3 2" xfId="23972"/>
    <cellStyle name="Примечание 2 3 5 3 3 3" xfId="19739"/>
    <cellStyle name="Примечание 2 3 5 3 4" xfId="19015"/>
    <cellStyle name="Примечание 2 3 5 3 4 2" xfId="22423"/>
    <cellStyle name="Примечание 2 3 5 3 5" xfId="23046"/>
    <cellStyle name="Примечание 2 3 5 3 6" xfId="20433"/>
    <cellStyle name="Примечание 2 3 5 3 7" xfId="23827"/>
    <cellStyle name="Примечание 2 3 5 4" xfId="5567"/>
    <cellStyle name="Примечание 2 3 5 4 2" xfId="19588"/>
    <cellStyle name="Примечание 2 3 5 4 3" xfId="22490"/>
    <cellStyle name="Примечание 2 3 5 4 4" xfId="23108"/>
    <cellStyle name="Примечание 2 3 5 4 5" xfId="21691"/>
    <cellStyle name="Примечание 2 3 5 4 6" xfId="23360"/>
    <cellStyle name="Примечание 2 3 5 4 7" xfId="21268"/>
    <cellStyle name="Примечание 2 3 5 5" xfId="5902"/>
    <cellStyle name="Примечание 2 3 5 5 2" xfId="19917"/>
    <cellStyle name="Примечание 2 3 5 5 3" xfId="22825"/>
    <cellStyle name="Примечание 2 3 5 5 4" xfId="20658"/>
    <cellStyle name="Примечание 2 3 5 5 5" xfId="19355"/>
    <cellStyle name="Примечание 2 3 5 5 6" xfId="20526"/>
    <cellStyle name="Примечание 2 3 5 5 7" xfId="21529"/>
    <cellStyle name="Примечание 2 3 5 6" xfId="6237"/>
    <cellStyle name="Примечание 2 3 5 6 2" xfId="24039"/>
    <cellStyle name="Примечание 2 3 5 6 3" xfId="20085"/>
    <cellStyle name="Примечание 2 3 5 7" xfId="19082"/>
    <cellStyle name="Примечание 2 3 5 7 2" xfId="19253"/>
    <cellStyle name="Примечание 2 3 5 8" xfId="21879"/>
    <cellStyle name="Примечание 2 3 5 9" xfId="22184"/>
    <cellStyle name="Примечание 2 3 6" xfId="5373"/>
    <cellStyle name="Примечание 2 3 6 2" xfId="20781"/>
    <cellStyle name="Примечание 2 3 6 3" xfId="22296"/>
    <cellStyle name="Примечание 2 3 6 4" xfId="23005"/>
    <cellStyle name="Примечание 2 3 6 5" xfId="20801"/>
    <cellStyle name="Примечание 2 3 6 6" xfId="19388"/>
    <cellStyle name="Примечание 2 3 6 7" xfId="21179"/>
    <cellStyle name="Примечание 2 3 7" xfId="5708"/>
    <cellStyle name="Примечание 2 3 7 2" xfId="21898"/>
    <cellStyle name="Примечание 2 3 7 3" xfId="22631"/>
    <cellStyle name="Примечание 2 3 7 4" xfId="21714"/>
    <cellStyle name="Примечание 2 3 7 5" xfId="20577"/>
    <cellStyle name="Примечание 2 3 7 6" xfId="23688"/>
    <cellStyle name="Примечание 2 3 7 7" xfId="21335"/>
    <cellStyle name="Примечание 2 3 8" xfId="6043"/>
    <cellStyle name="Примечание 2 3 8 2" xfId="23845"/>
    <cellStyle name="Примечание 2 3 8 3" xfId="19290"/>
    <cellStyle name="Примечание 2 3 9" xfId="18888"/>
    <cellStyle name="Примечание 2 3 9 2" xfId="20148"/>
    <cellStyle name="Примечание 2 4" xfId="793"/>
    <cellStyle name="Примечание 2 4 10" xfId="20340"/>
    <cellStyle name="Примечание 2 4 2" xfId="1918"/>
    <cellStyle name="Примечание 2 4 2 2" xfId="3297"/>
    <cellStyle name="Примечание 2 4 2 2 10" xfId="19782"/>
    <cellStyle name="Примечание 2 4 2 2 2" xfId="5627"/>
    <cellStyle name="Примечание 2 4 2 2 2 2" xfId="5962"/>
    <cellStyle name="Примечание 2 4 2 2 2 2 2" xfId="20772"/>
    <cellStyle name="Примечание 2 4 2 2 2 2 3" xfId="22885"/>
    <cellStyle name="Примечание 2 4 2 2 2 2 4" xfId="20923"/>
    <cellStyle name="Примечание 2 4 2 2 2 2 5" xfId="20804"/>
    <cellStyle name="Примечание 2 4 2 2 2 2 6" xfId="20067"/>
    <cellStyle name="Примечание 2 4 2 2 2 2 7" xfId="21589"/>
    <cellStyle name="Примечание 2 4 2 2 2 3" xfId="6297"/>
    <cellStyle name="Примечание 2 4 2 2 2 3 2" xfId="24099"/>
    <cellStyle name="Примечание 2 4 2 2 2 3 3" xfId="19331"/>
    <cellStyle name="Примечание 2 4 2 2 2 4" xfId="19142"/>
    <cellStyle name="Примечание 2 4 2 2 2 4 2" xfId="22550"/>
    <cellStyle name="Примечание 2 4 2 2 2 5" xfId="23201"/>
    <cellStyle name="Примечание 2 4 2 2 2 6" xfId="20871"/>
    <cellStyle name="Примечание 2 4 2 2 2 7" xfId="21803"/>
    <cellStyle name="Примечание 2 4 2 2 3" xfId="5545"/>
    <cellStyle name="Примечание 2 4 2 2 3 2" xfId="5880"/>
    <cellStyle name="Примечание 2 4 2 2 3 2 2" xfId="20905"/>
    <cellStyle name="Примечание 2 4 2 2 3 2 3" xfId="22803"/>
    <cellStyle name="Примечание 2 4 2 2 3 2 4" xfId="19571"/>
    <cellStyle name="Примечание 2 4 2 2 3 2 5" xfId="19256"/>
    <cellStyle name="Примечание 2 4 2 2 3 2 6" xfId="23545"/>
    <cellStyle name="Примечание 2 4 2 2 3 2 7" xfId="21507"/>
    <cellStyle name="Примечание 2 4 2 2 3 3" xfId="6215"/>
    <cellStyle name="Примечание 2 4 2 2 3 3 2" xfId="24017"/>
    <cellStyle name="Примечание 2 4 2 2 3 3 3" xfId="19426"/>
    <cellStyle name="Примечание 2 4 2 2 3 4" xfId="19060"/>
    <cellStyle name="Примечание 2 4 2 2 3 4 2" xfId="22468"/>
    <cellStyle name="Примечание 2 4 2 2 3 5" xfId="23176"/>
    <cellStyle name="Примечание 2 4 2 2 3 6" xfId="20642"/>
    <cellStyle name="Примечание 2 4 2 2 3 7" xfId="20807"/>
    <cellStyle name="Примечание 2 4 2 2 4" xfId="5614"/>
    <cellStyle name="Примечание 2 4 2 2 4 2" xfId="20292"/>
    <cellStyle name="Примечание 2 4 2 2 4 3" xfId="22537"/>
    <cellStyle name="Примечание 2 4 2 2 4 4" xfId="23085"/>
    <cellStyle name="Примечание 2 4 2 2 4 5" xfId="19517"/>
    <cellStyle name="Примечание 2 4 2 2 4 6" xfId="23813"/>
    <cellStyle name="Примечание 2 4 2 2 4 7" xfId="21315"/>
    <cellStyle name="Примечание 2 4 2 2 5" xfId="5949"/>
    <cellStyle name="Примечание 2 4 2 2 5 2" xfId="19235"/>
    <cellStyle name="Примечание 2 4 2 2 5 3" xfId="22872"/>
    <cellStyle name="Примечание 2 4 2 2 5 4" xfId="19207"/>
    <cellStyle name="Примечание 2 4 2 2 5 5" xfId="20929"/>
    <cellStyle name="Примечание 2 4 2 2 5 6" xfId="23446"/>
    <cellStyle name="Примечание 2 4 2 2 5 7" xfId="21576"/>
    <cellStyle name="Примечание 2 4 2 2 6" xfId="6284"/>
    <cellStyle name="Примечание 2 4 2 2 6 2" xfId="24086"/>
    <cellStyle name="Примечание 2 4 2 2 6 3" xfId="20418"/>
    <cellStyle name="Примечание 2 4 2 2 7" xfId="19129"/>
    <cellStyle name="Примечание 2 4 2 2 7 2" xfId="21833"/>
    <cellStyle name="Примечание 2 4 2 2 8" xfId="20140"/>
    <cellStyle name="Примечание 2 4 2 2 9" xfId="22019"/>
    <cellStyle name="Примечание 2 4 2 3" xfId="5434"/>
    <cellStyle name="Примечание 2 4 2 3 2" xfId="19623"/>
    <cellStyle name="Примечание 2 4 2 3 3" xfId="22357"/>
    <cellStyle name="Примечание 2 4 2 3 4" xfId="20503"/>
    <cellStyle name="Примечание 2 4 2 3 5" xfId="23478"/>
    <cellStyle name="Примечание 2 4 2 3 6" xfId="19933"/>
    <cellStyle name="Примечание 2 4 2 3 7" xfId="21240"/>
    <cellStyle name="Примечание 2 4 2 4" xfId="5769"/>
    <cellStyle name="Примечание 2 4 2 4 2" xfId="20270"/>
    <cellStyle name="Примечание 2 4 2 4 3" xfId="22692"/>
    <cellStyle name="Примечание 2 4 2 4 4" xfId="20312"/>
    <cellStyle name="Примечание 2 4 2 4 5" xfId="20035"/>
    <cellStyle name="Примечание 2 4 2 4 6" xfId="20419"/>
    <cellStyle name="Примечание 2 4 2 4 7" xfId="21396"/>
    <cellStyle name="Примечание 2 4 2 5" xfId="6104"/>
    <cellStyle name="Примечание 2 4 2 5 2" xfId="23906"/>
    <cellStyle name="Примечание 2 4 2 5 3" xfId="20153"/>
    <cellStyle name="Примечание 2 4 2 6" xfId="18949"/>
    <cellStyle name="Примечание 2 4 2 6 2" xfId="19719"/>
    <cellStyle name="Примечание 2 4 2 7" xfId="20159"/>
    <cellStyle name="Примечание 2 4 2 8" xfId="23626"/>
    <cellStyle name="Примечание 2 4 2 9" xfId="23427"/>
    <cellStyle name="Примечание 2 4 3" xfId="3259"/>
    <cellStyle name="Примечание 2 4 3 10" xfId="20028"/>
    <cellStyle name="Примечание 2 4 3 2" xfId="5636"/>
    <cellStyle name="Примечание 2 4 3 2 2" xfId="5971"/>
    <cellStyle name="Примечание 2 4 3 2 2 2" xfId="19925"/>
    <cellStyle name="Примечание 2 4 3 2 2 3" xfId="22894"/>
    <cellStyle name="Примечание 2 4 3 2 2 4" xfId="19515"/>
    <cellStyle name="Примечание 2 4 3 2 2 5" xfId="22076"/>
    <cellStyle name="Примечание 2 4 3 2 2 6" xfId="23518"/>
    <cellStyle name="Примечание 2 4 3 2 2 7" xfId="21598"/>
    <cellStyle name="Примечание 2 4 3 2 3" xfId="6306"/>
    <cellStyle name="Примечание 2 4 3 2 3 2" xfId="24108"/>
    <cellStyle name="Примечание 2 4 3 2 3 3" xfId="21992"/>
    <cellStyle name="Примечание 2 4 3 2 4" xfId="19151"/>
    <cellStyle name="Примечание 2 4 3 2 4 2" xfId="22559"/>
    <cellStyle name="Примечание 2 4 3 2 5" xfId="23222"/>
    <cellStyle name="Примечание 2 4 3 2 6" xfId="19382"/>
    <cellStyle name="Примечание 2 4 3 2 7" xfId="23682"/>
    <cellStyle name="Примечание 2 4 3 3" xfId="5518"/>
    <cellStyle name="Примечание 2 4 3 3 2" xfId="5853"/>
    <cellStyle name="Примечание 2 4 3 3 2 2" xfId="20331"/>
    <cellStyle name="Примечание 2 4 3 3 2 3" xfId="22776"/>
    <cellStyle name="Примечание 2 4 3 3 2 4" xfId="22212"/>
    <cellStyle name="Примечание 2 4 3 3 2 5" xfId="20857"/>
    <cellStyle name="Примечание 2 4 3 3 2 6" xfId="23294"/>
    <cellStyle name="Примечание 2 4 3 3 2 7" xfId="21480"/>
    <cellStyle name="Примечание 2 4 3 3 3" xfId="6188"/>
    <cellStyle name="Примечание 2 4 3 3 3 2" xfId="23990"/>
    <cellStyle name="Примечание 2 4 3 3 3 3" xfId="19891"/>
    <cellStyle name="Примечание 2 4 3 3 4" xfId="19033"/>
    <cellStyle name="Примечание 2 4 3 3 4 2" xfId="22441"/>
    <cellStyle name="Примечание 2 4 3 3 5" xfId="23053"/>
    <cellStyle name="Примечание 2 4 3 3 6" xfId="21659"/>
    <cellStyle name="Примечание 2 4 3 3 7" xfId="23512"/>
    <cellStyle name="Примечание 2 4 3 4" xfId="5576"/>
    <cellStyle name="Примечание 2 4 3 4 2" xfId="20631"/>
    <cellStyle name="Примечание 2 4 3 4 3" xfId="22499"/>
    <cellStyle name="Примечание 2 4 3 4 4" xfId="23080"/>
    <cellStyle name="Примечание 2 4 3 4 5" xfId="23547"/>
    <cellStyle name="Примечание 2 4 3 4 6" xfId="19465"/>
    <cellStyle name="Примечание 2 4 3 4 7" xfId="21277"/>
    <cellStyle name="Примечание 2 4 3 5" xfId="5911"/>
    <cellStyle name="Примечание 2 4 3 5 2" xfId="20736"/>
    <cellStyle name="Примечание 2 4 3 5 3" xfId="22834"/>
    <cellStyle name="Примечание 2 4 3 5 4" xfId="21034"/>
    <cellStyle name="Примечание 2 4 3 5 5" xfId="20987"/>
    <cellStyle name="Примечание 2 4 3 5 6" xfId="22260"/>
    <cellStyle name="Примечание 2 4 3 5 7" xfId="21538"/>
    <cellStyle name="Примечание 2 4 3 6" xfId="6246"/>
    <cellStyle name="Примечание 2 4 3 6 2" xfId="24048"/>
    <cellStyle name="Примечание 2 4 3 6 3" xfId="20320"/>
    <cellStyle name="Примечание 2 4 3 7" xfId="19091"/>
    <cellStyle name="Примечание 2 4 3 7 2" xfId="21725"/>
    <cellStyle name="Примечание 2 4 3 8" xfId="21683"/>
    <cellStyle name="Примечание 2 4 3 9" xfId="19423"/>
    <cellStyle name="Примечание 2 4 4" xfId="5396"/>
    <cellStyle name="Примечание 2 4 4 2" xfId="19512"/>
    <cellStyle name="Примечание 2 4 4 3" xfId="22319"/>
    <cellStyle name="Примечание 2 4 4 4" xfId="23152"/>
    <cellStyle name="Примечание 2 4 4 5" xfId="20529"/>
    <cellStyle name="Примечание 2 4 4 6" xfId="19286"/>
    <cellStyle name="Примечание 2 4 4 7" xfId="21202"/>
    <cellStyle name="Примечание 2 4 5" xfId="5731"/>
    <cellStyle name="Примечание 2 4 5 2" xfId="21921"/>
    <cellStyle name="Примечание 2 4 5 3" xfId="22654"/>
    <cellStyle name="Примечание 2 4 5 4" xfId="20992"/>
    <cellStyle name="Примечание 2 4 5 5" xfId="21044"/>
    <cellStyle name="Примечание 2 4 5 6" xfId="23798"/>
    <cellStyle name="Примечание 2 4 5 7" xfId="21358"/>
    <cellStyle name="Примечание 2 4 6" xfId="6066"/>
    <cellStyle name="Примечание 2 4 6 2" xfId="23868"/>
    <cellStyle name="Примечание 2 4 6 3" xfId="20016"/>
    <cellStyle name="Примечание 2 4 7" xfId="18911"/>
    <cellStyle name="Примечание 2 4 7 2" xfId="19821"/>
    <cellStyle name="Примечание 2 4 8" xfId="22976"/>
    <cellStyle name="Примечание 2 4 9" xfId="20328"/>
    <cellStyle name="Примечание 2 5" xfId="1329"/>
    <cellStyle name="Примечание 2 5 2" xfId="3272"/>
    <cellStyle name="Примечание 2 5 2 10" xfId="23534"/>
    <cellStyle name="Примечание 2 5 2 2" xfId="5486"/>
    <cellStyle name="Примечание 2 5 2 2 2" xfId="5821"/>
    <cellStyle name="Примечание 2 5 2 2 2 2" xfId="22149"/>
    <cellStyle name="Примечание 2 5 2 2 2 3" xfId="22744"/>
    <cellStyle name="Примечание 2 5 2 2 2 4" xfId="19334"/>
    <cellStyle name="Примечание 2 5 2 2 2 5" xfId="20103"/>
    <cellStyle name="Примечание 2 5 2 2 2 6" xfId="23693"/>
    <cellStyle name="Примечание 2 5 2 2 2 7" xfId="21448"/>
    <cellStyle name="Примечание 2 5 2 2 3" xfId="6156"/>
    <cellStyle name="Примечание 2 5 2 2 3 2" xfId="23958"/>
    <cellStyle name="Примечание 2 5 2 2 3 3" xfId="19269"/>
    <cellStyle name="Примечание 2 5 2 2 4" xfId="19001"/>
    <cellStyle name="Примечание 2 5 2 2 4 2" xfId="22409"/>
    <cellStyle name="Примечание 2 5 2 2 5" xfId="23273"/>
    <cellStyle name="Примечание 2 5 2 2 6" xfId="20460"/>
    <cellStyle name="Примечание 2 5 2 2 7" xfId="19378"/>
    <cellStyle name="Примечание 2 5 2 3" xfId="5645"/>
    <cellStyle name="Примечание 2 5 2 3 2" xfId="5980"/>
    <cellStyle name="Примечание 2 5 2 3 2 2" xfId="19666"/>
    <cellStyle name="Примечание 2 5 2 3 2 3" xfId="22903"/>
    <cellStyle name="Примечание 2 5 2 3 2 4" xfId="22235"/>
    <cellStyle name="Примечание 2 5 2 3 2 5" xfId="19867"/>
    <cellStyle name="Примечание 2 5 2 3 2 6" xfId="22002"/>
    <cellStyle name="Примечание 2 5 2 3 2 7" xfId="21607"/>
    <cellStyle name="Примечание 2 5 2 3 3" xfId="6315"/>
    <cellStyle name="Примечание 2 5 2 3 3 2" xfId="24117"/>
    <cellStyle name="Примечание 2 5 2 3 3 3" xfId="19723"/>
    <cellStyle name="Примечание 2 5 2 3 4" xfId="19160"/>
    <cellStyle name="Примечание 2 5 2 3 4 2" xfId="22568"/>
    <cellStyle name="Примечание 2 5 2 3 5" xfId="19995"/>
    <cellStyle name="Примечание 2 5 2 3 6" xfId="19440"/>
    <cellStyle name="Примечание 2 5 2 3 7" xfId="22223"/>
    <cellStyle name="Примечание 2 5 2 4" xfId="5589"/>
    <cellStyle name="Примечание 2 5 2 4 2" xfId="22140"/>
    <cellStyle name="Примечание 2 5 2 4 3" xfId="22512"/>
    <cellStyle name="Примечание 2 5 2 4 4" xfId="23329"/>
    <cellStyle name="Примечание 2 5 2 4 5" xfId="19298"/>
    <cellStyle name="Примечание 2 5 2 4 6" xfId="23814"/>
    <cellStyle name="Примечание 2 5 2 4 7" xfId="21290"/>
    <cellStyle name="Примечание 2 5 2 5" xfId="5924"/>
    <cellStyle name="Примечание 2 5 2 5 2" xfId="19507"/>
    <cellStyle name="Примечание 2 5 2 5 3" xfId="22847"/>
    <cellStyle name="Примечание 2 5 2 5 4" xfId="19923"/>
    <cellStyle name="Примечание 2 5 2 5 5" xfId="20375"/>
    <cellStyle name="Примечание 2 5 2 5 6" xfId="23490"/>
    <cellStyle name="Примечание 2 5 2 5 7" xfId="21551"/>
    <cellStyle name="Примечание 2 5 2 6" xfId="6259"/>
    <cellStyle name="Примечание 2 5 2 6 2" xfId="24061"/>
    <cellStyle name="Примечание 2 5 2 6 3" xfId="21675"/>
    <cellStyle name="Примечание 2 5 2 7" xfId="19104"/>
    <cellStyle name="Примечание 2 5 2 7 2" xfId="20775"/>
    <cellStyle name="Примечание 2 5 2 8" xfId="20494"/>
    <cellStyle name="Примечание 2 5 2 9" xfId="19974"/>
    <cellStyle name="Примечание 2 5 3" xfId="5409"/>
    <cellStyle name="Примечание 2 5 3 2" xfId="21923"/>
    <cellStyle name="Примечание 2 5 3 3" xfId="22332"/>
    <cellStyle name="Примечание 2 5 3 4" xfId="23324"/>
    <cellStyle name="Примечание 2 5 3 5" xfId="19924"/>
    <cellStyle name="Примечание 2 5 3 6" xfId="23695"/>
    <cellStyle name="Примечание 2 5 3 7" xfId="21215"/>
    <cellStyle name="Примечание 2 5 4" xfId="5744"/>
    <cellStyle name="Примечание 2 5 4 2" xfId="20799"/>
    <cellStyle name="Примечание 2 5 4 3" xfId="22667"/>
    <cellStyle name="Примечание 2 5 4 4" xfId="20570"/>
    <cellStyle name="Примечание 2 5 4 5" xfId="20344"/>
    <cellStyle name="Примечание 2 5 4 6" xfId="19558"/>
    <cellStyle name="Примечание 2 5 4 7" xfId="21371"/>
    <cellStyle name="Примечание 2 5 5" xfId="6079"/>
    <cellStyle name="Примечание 2 5 5 2" xfId="23881"/>
    <cellStyle name="Примечание 2 5 5 3" xfId="22146"/>
    <cellStyle name="Примечание 2 5 6" xfId="18924"/>
    <cellStyle name="Примечание 2 5 6 2" xfId="21733"/>
    <cellStyle name="Примечание 2 5 7" xfId="23286"/>
    <cellStyle name="Примечание 2 5 8" xfId="19855"/>
    <cellStyle name="Примечание 2 5 9" xfId="20635"/>
    <cellStyle name="Примечание 2 6" xfId="1730"/>
    <cellStyle name="Примечание 2 6 2" xfId="3286"/>
    <cellStyle name="Примечание 2 6 2 10" xfId="20065"/>
    <cellStyle name="Примечание 2 6 2 2" xfId="5474"/>
    <cellStyle name="Примечание 2 6 2 2 2" xfId="5809"/>
    <cellStyle name="Примечание 2 6 2 2 2 2" xfId="20411"/>
    <cellStyle name="Примечание 2 6 2 2 2 3" xfId="22732"/>
    <cellStyle name="Примечание 2 6 2 2 2 4" xfId="20150"/>
    <cellStyle name="Примечание 2 6 2 2 2 5" xfId="20080"/>
    <cellStyle name="Примечание 2 6 2 2 2 6" xfId="19640"/>
    <cellStyle name="Примечание 2 6 2 2 2 7" xfId="21436"/>
    <cellStyle name="Примечание 2 6 2 2 3" xfId="6144"/>
    <cellStyle name="Примечание 2 6 2 2 3 2" xfId="23946"/>
    <cellStyle name="Примечание 2 6 2 2 3 3" xfId="22014"/>
    <cellStyle name="Примечание 2 6 2 2 4" xfId="18989"/>
    <cellStyle name="Примечание 2 6 2 2 4 2" xfId="22397"/>
    <cellStyle name="Примечание 2 6 2 2 5" xfId="23004"/>
    <cellStyle name="Примечание 2 6 2 2 6" xfId="21701"/>
    <cellStyle name="Примечание 2 6 2 2 7" xfId="23718"/>
    <cellStyle name="Примечание 2 6 2 3" xfId="5536"/>
    <cellStyle name="Примечание 2 6 2 3 2" xfId="5871"/>
    <cellStyle name="Примечание 2 6 2 3 2 2" xfId="21097"/>
    <cellStyle name="Примечание 2 6 2 3 2 3" xfId="22794"/>
    <cellStyle name="Примечание 2 6 2 3 2 4" xfId="21972"/>
    <cellStyle name="Примечание 2 6 2 3 2 5" xfId="23586"/>
    <cellStyle name="Примечание 2 6 2 3 2 6" xfId="20123"/>
    <cellStyle name="Примечание 2 6 2 3 2 7" xfId="21498"/>
    <cellStyle name="Примечание 2 6 2 3 3" xfId="6206"/>
    <cellStyle name="Примечание 2 6 2 3 3 2" xfId="24008"/>
    <cellStyle name="Примечание 2 6 2 3 3 3" xfId="19652"/>
    <cellStyle name="Примечание 2 6 2 3 4" xfId="19051"/>
    <cellStyle name="Примечание 2 6 2 3 4 2" xfId="22459"/>
    <cellStyle name="Примечание 2 6 2 3 5" xfId="23163"/>
    <cellStyle name="Примечание 2 6 2 3 6" xfId="19249"/>
    <cellStyle name="Примечание 2 6 2 3 7" xfId="23793"/>
    <cellStyle name="Примечание 2 6 2 4" xfId="5603"/>
    <cellStyle name="Примечание 2 6 2 4 2" xfId="21931"/>
    <cellStyle name="Примечание 2 6 2 4 3" xfId="22526"/>
    <cellStyle name="Примечание 2 6 2 4 4" xfId="23344"/>
    <cellStyle name="Примечание 2 6 2 4 5" xfId="23277"/>
    <cellStyle name="Примечание 2 6 2 4 6" xfId="23683"/>
    <cellStyle name="Примечание 2 6 2 4 7" xfId="21304"/>
    <cellStyle name="Примечание 2 6 2 5" xfId="5938"/>
    <cellStyle name="Примечание 2 6 2 5 2" xfId="19807"/>
    <cellStyle name="Примечание 2 6 2 5 3" xfId="22861"/>
    <cellStyle name="Примечание 2 6 2 5 4" xfId="21766"/>
    <cellStyle name="Примечание 2 6 2 5 5" xfId="20977"/>
    <cellStyle name="Примечание 2 6 2 5 6" xfId="23493"/>
    <cellStyle name="Примечание 2 6 2 5 7" xfId="21565"/>
    <cellStyle name="Примечание 2 6 2 6" xfId="6273"/>
    <cellStyle name="Примечание 2 6 2 6 2" xfId="24075"/>
    <cellStyle name="Примечание 2 6 2 6 3" xfId="19931"/>
    <cellStyle name="Примечание 2 6 2 7" xfId="19118"/>
    <cellStyle name="Примечание 2 6 2 7 2" xfId="20203"/>
    <cellStyle name="Примечание 2 6 2 8" xfId="22040"/>
    <cellStyle name="Примечание 2 6 2 9" xfId="23465"/>
    <cellStyle name="Примечание 2 6 3" xfId="5423"/>
    <cellStyle name="Примечание 2 6 3 2" xfId="21028"/>
    <cellStyle name="Примечание 2 6 3 3" xfId="22346"/>
    <cellStyle name="Примечание 2 6 3 4" xfId="23366"/>
    <cellStyle name="Примечание 2 6 3 5" xfId="23480"/>
    <cellStyle name="Примечание 2 6 3 6" xfId="19918"/>
    <cellStyle name="Примечание 2 6 3 7" xfId="21229"/>
    <cellStyle name="Примечание 2 6 4" xfId="5758"/>
    <cellStyle name="Примечание 2 6 4 2" xfId="20875"/>
    <cellStyle name="Примечание 2 6 4 3" xfId="22681"/>
    <cellStyle name="Примечание 2 6 4 4" xfId="20530"/>
    <cellStyle name="Примечание 2 6 4 5" xfId="19326"/>
    <cellStyle name="Примечание 2 6 4 6" xfId="19289"/>
    <cellStyle name="Примечание 2 6 4 7" xfId="21385"/>
    <cellStyle name="Примечание 2 6 5" xfId="6093"/>
    <cellStyle name="Примечание 2 6 5 2" xfId="23895"/>
    <cellStyle name="Примечание 2 6 5 3" xfId="21101"/>
    <cellStyle name="Примечание 2 6 6" xfId="18938"/>
    <cellStyle name="Примечание 2 6 6 2" xfId="21808"/>
    <cellStyle name="Примечание 2 6 7" xfId="22244"/>
    <cellStyle name="Примечание 2 6 8" xfId="19875"/>
    <cellStyle name="Примечание 2 6 9" xfId="20565"/>
    <cellStyle name="Примечание 2 7" xfId="3094"/>
    <cellStyle name="Примечание 2 7 10" xfId="21906"/>
    <cellStyle name="Примечание 2 7 2" xfId="5521"/>
    <cellStyle name="Примечание 2 7 2 2" xfId="5856"/>
    <cellStyle name="Примечание 2 7 2 2 2" xfId="20657"/>
    <cellStyle name="Примечание 2 7 2 2 3" xfId="22779"/>
    <cellStyle name="Примечание 2 7 2 2 4" xfId="20599"/>
    <cellStyle name="Примечание 2 7 2 2 5" xfId="23551"/>
    <cellStyle name="Примечание 2 7 2 2 6" xfId="23460"/>
    <cellStyle name="Примечание 2 7 2 2 7" xfId="21483"/>
    <cellStyle name="Примечание 2 7 2 3" xfId="6191"/>
    <cellStyle name="Примечание 2 7 2 3 2" xfId="23993"/>
    <cellStyle name="Примечание 2 7 2 3 3" xfId="22059"/>
    <cellStyle name="Примечание 2 7 2 4" xfId="19036"/>
    <cellStyle name="Примечание 2 7 2 4 2" xfId="22444"/>
    <cellStyle name="Примечание 2 7 2 5" xfId="23214"/>
    <cellStyle name="Примечание 2 7 2 6" xfId="20867"/>
    <cellStyle name="Примечание 2 7 2 7" xfId="23706"/>
    <cellStyle name="Примечание 2 7 3" xfId="5683"/>
    <cellStyle name="Примечание 2 7 3 2" xfId="6018"/>
    <cellStyle name="Примечание 2 7 3 2 2" xfId="20962"/>
    <cellStyle name="Примечание 2 7 3 2 3" xfId="22941"/>
    <cellStyle name="Примечание 2 7 3 2 4" xfId="23413"/>
    <cellStyle name="Примечание 2 7 3 2 5" xfId="23639"/>
    <cellStyle name="Примечание 2 7 3 2 6" xfId="19379"/>
    <cellStyle name="Примечание 2 7 3 2 7" xfId="21645"/>
    <cellStyle name="Примечание 2 7 3 3" xfId="6353"/>
    <cellStyle name="Примечание 2 7 3 3 2" xfId="24155"/>
    <cellStyle name="Примечание 2 7 3 3 3" xfId="19882"/>
    <cellStyle name="Примечание 2 7 3 4" xfId="19198"/>
    <cellStyle name="Примечание 2 7 3 4 2" xfId="22606"/>
    <cellStyle name="Примечание 2 7 3 5" xfId="23206"/>
    <cellStyle name="Примечание 2 7 3 6" xfId="23535"/>
    <cellStyle name="Примечание 2 7 3 7" xfId="20686"/>
    <cellStyle name="Примечание 2 7 4" xfId="5385"/>
    <cellStyle name="Примечание 2 7 4 2" xfId="22161"/>
    <cellStyle name="Примечание 2 7 4 3" xfId="22308"/>
    <cellStyle name="Примечание 2 7 4 4" xfId="23369"/>
    <cellStyle name="Примечание 2 7 4 5" xfId="23578"/>
    <cellStyle name="Примечание 2 7 4 6" xfId="20440"/>
    <cellStyle name="Примечание 2 7 4 7" xfId="21191"/>
    <cellStyle name="Примечание 2 7 5" xfId="5720"/>
    <cellStyle name="Примечание 2 7 5 2" xfId="22022"/>
    <cellStyle name="Примечание 2 7 5 3" xfId="22643"/>
    <cellStyle name="Примечание 2 7 5 4" xfId="19810"/>
    <cellStyle name="Примечание 2 7 5 5" xfId="20562"/>
    <cellStyle name="Примечание 2 7 5 6" xfId="23736"/>
    <cellStyle name="Примечание 2 7 5 7" xfId="21347"/>
    <cellStyle name="Примечание 2 7 6" xfId="6055"/>
    <cellStyle name="Примечание 2 7 6 2" xfId="23857"/>
    <cellStyle name="Примечание 2 7 6 3" xfId="20498"/>
    <cellStyle name="Примечание 2 7 7" xfId="18900"/>
    <cellStyle name="Примечание 2 7 7 2" xfId="21975"/>
    <cellStyle name="Примечание 2 7 8" xfId="20898"/>
    <cellStyle name="Примечание 2 7 9" xfId="23486"/>
    <cellStyle name="Примечание 2 8" xfId="3234"/>
    <cellStyle name="Примечание 2 8 10" xfId="22240"/>
    <cellStyle name="Примечание 2 8 2" xfId="5467"/>
    <cellStyle name="Примечание 2 8 2 2" xfId="5802"/>
    <cellStyle name="Примечание 2 8 2 2 2" xfId="20820"/>
    <cellStyle name="Примечание 2 8 2 2 3" xfId="22725"/>
    <cellStyle name="Примечание 2 8 2 2 4" xfId="20417"/>
    <cellStyle name="Примечание 2 8 2 2 5" xfId="23519"/>
    <cellStyle name="Примечание 2 8 2 2 6" xfId="23483"/>
    <cellStyle name="Примечание 2 8 2 2 7" xfId="21429"/>
    <cellStyle name="Примечание 2 8 2 3" xfId="6137"/>
    <cellStyle name="Примечание 2 8 2 3 2" xfId="23939"/>
    <cellStyle name="Примечание 2 8 2 3 3" xfId="21996"/>
    <cellStyle name="Примечание 2 8 2 4" xfId="18982"/>
    <cellStyle name="Примечание 2 8 2 4 2" xfId="22390"/>
    <cellStyle name="Примечание 2 8 2 5" xfId="23279"/>
    <cellStyle name="Примечание 2 8 2 6" xfId="23481"/>
    <cellStyle name="Примечание 2 8 2 7" xfId="23757"/>
    <cellStyle name="Примечание 2 8 3" xfId="5644"/>
    <cellStyle name="Примечание 2 8 3 2" xfId="5979"/>
    <cellStyle name="Примечание 2 8 3 2 2" xfId="20877"/>
    <cellStyle name="Примечание 2 8 3 2 3" xfId="22902"/>
    <cellStyle name="Примечание 2 8 3 2 4" xfId="21079"/>
    <cellStyle name="Примечание 2 8 3 2 5" xfId="20845"/>
    <cellStyle name="Примечание 2 8 3 2 6" xfId="23667"/>
    <cellStyle name="Примечание 2 8 3 2 7" xfId="21606"/>
    <cellStyle name="Примечание 2 8 3 3" xfId="6314"/>
    <cellStyle name="Примечание 2 8 3 3 2" xfId="24116"/>
    <cellStyle name="Примечание 2 8 3 3 3" xfId="22189"/>
    <cellStyle name="Примечание 2 8 3 4" xfId="19159"/>
    <cellStyle name="Примечание 2 8 3 4 2" xfId="22567"/>
    <cellStyle name="Примечание 2 8 3 5" xfId="20591"/>
    <cellStyle name="Примечание 2 8 3 6" xfId="20861"/>
    <cellStyle name="Примечание 2 8 3 7" xfId="23818"/>
    <cellStyle name="Примечание 2 8 4" xfId="5446"/>
    <cellStyle name="Примечание 2 8 4 2" xfId="20160"/>
    <cellStyle name="Примечание 2 8 4 3" xfId="22369"/>
    <cellStyle name="Примечание 2 8 4 4" xfId="23203"/>
    <cellStyle name="Примечание 2 8 4 5" xfId="21151"/>
    <cellStyle name="Примечание 2 8 4 6" xfId="23669"/>
    <cellStyle name="Примечание 2 8 4 7" xfId="21252"/>
    <cellStyle name="Примечание 2 8 5" xfId="5781"/>
    <cellStyle name="Примечание 2 8 5 2" xfId="19853"/>
    <cellStyle name="Примечание 2 8 5 3" xfId="22704"/>
    <cellStyle name="Примечание 2 8 5 4" xfId="23016"/>
    <cellStyle name="Примечание 2 8 5 5" xfId="19281"/>
    <cellStyle name="Примечание 2 8 5 6" xfId="21915"/>
    <cellStyle name="Примечание 2 8 5 7" xfId="21408"/>
    <cellStyle name="Примечание 2 8 6" xfId="6116"/>
    <cellStyle name="Примечание 2 8 6 2" xfId="23918"/>
    <cellStyle name="Примечание 2 8 6 3" xfId="19443"/>
    <cellStyle name="Примечание 2 8 7" xfId="18961"/>
    <cellStyle name="Примечание 2 8 7 2" xfId="20015"/>
    <cellStyle name="Примечание 2 8 8" xfId="20649"/>
    <cellStyle name="Примечание 2 8 9" xfId="20185"/>
    <cellStyle name="Примечание 2 9" xfId="3248"/>
    <cellStyle name="Примечание 2 9 10" xfId="23484"/>
    <cellStyle name="Примечание 2 9 2" xfId="5481"/>
    <cellStyle name="Примечание 2 9 2 2" xfId="5816"/>
    <cellStyle name="Примечание 2 9 2 2 2" xfId="19561"/>
    <cellStyle name="Примечание 2 9 2 2 3" xfId="22739"/>
    <cellStyle name="Примечание 2 9 2 2 4" xfId="19506"/>
    <cellStyle name="Примечание 2 9 2 2 5" xfId="19989"/>
    <cellStyle name="Примечание 2 9 2 2 6" xfId="20589"/>
    <cellStyle name="Примечание 2 9 2 2 7" xfId="21443"/>
    <cellStyle name="Примечание 2 9 2 3" xfId="6151"/>
    <cellStyle name="Примечание 2 9 2 3 2" xfId="23953"/>
    <cellStyle name="Примечание 2 9 2 3 3" xfId="22067"/>
    <cellStyle name="Примечание 2 9 2 4" xfId="18996"/>
    <cellStyle name="Примечание 2 9 2 4 2" xfId="22404"/>
    <cellStyle name="Примечание 2 9 2 5" xfId="20716"/>
    <cellStyle name="Примечание 2 9 2 6" xfId="20223"/>
    <cellStyle name="Примечание 2 9 2 7" xfId="23761"/>
    <cellStyle name="Примечание 2 9 3" xfId="5471"/>
    <cellStyle name="Примечание 2 9 3 2" xfId="5806"/>
    <cellStyle name="Примечание 2 9 3 2 2" xfId="19547"/>
    <cellStyle name="Примечание 2 9 3 2 3" xfId="22729"/>
    <cellStyle name="Примечание 2 9 3 2 4" xfId="21000"/>
    <cellStyle name="Примечание 2 9 3 2 5" xfId="20648"/>
    <cellStyle name="Примечание 2 9 3 2 6" xfId="23698"/>
    <cellStyle name="Примечание 2 9 3 2 7" xfId="21433"/>
    <cellStyle name="Примечание 2 9 3 3" xfId="6141"/>
    <cellStyle name="Примечание 2 9 3 3 2" xfId="23943"/>
    <cellStyle name="Примечание 2 9 3 3 3" xfId="22139"/>
    <cellStyle name="Примечание 2 9 3 4" xfId="18986"/>
    <cellStyle name="Примечание 2 9 3 4 2" xfId="22394"/>
    <cellStyle name="Примечание 2 9 3 5" xfId="19731"/>
    <cellStyle name="Примечание 2 9 3 6" xfId="21697"/>
    <cellStyle name="Примечание 2 9 3 7" xfId="23726"/>
    <cellStyle name="Примечание 2 9 4" xfId="5565"/>
    <cellStyle name="Примечание 2 9 4 2" xfId="21876"/>
    <cellStyle name="Примечание 2 9 4 3" xfId="22488"/>
    <cellStyle name="Примечание 2 9 4 4" xfId="21910"/>
    <cellStyle name="Примечание 2 9 4 5" xfId="19894"/>
    <cellStyle name="Примечание 2 9 4 6" xfId="23691"/>
    <cellStyle name="Примечание 2 9 4 7" xfId="21266"/>
    <cellStyle name="Примечание 2 9 5" xfId="5900"/>
    <cellStyle name="Примечание 2 9 5 2" xfId="20920"/>
    <cellStyle name="Примечание 2 9 5 3" xfId="22823"/>
    <cellStyle name="Примечание 2 9 5 4" xfId="20423"/>
    <cellStyle name="Примечание 2 9 5 5" xfId="22199"/>
    <cellStyle name="Примечание 2 9 5 6" xfId="23131"/>
    <cellStyle name="Примечание 2 9 5 7" xfId="21527"/>
    <cellStyle name="Примечание 2 9 6" xfId="6235"/>
    <cellStyle name="Примечание 2 9 6 2" xfId="24037"/>
    <cellStyle name="Примечание 2 9 6 3" xfId="20401"/>
    <cellStyle name="Примечание 2 9 7" xfId="19080"/>
    <cellStyle name="Примечание 2 9 7 2" xfId="20154"/>
    <cellStyle name="Примечание 2 9 8" xfId="21090"/>
    <cellStyle name="Примечание 2 9 9" xfId="23421"/>
    <cellStyle name="Примечание 3" xfId="449"/>
    <cellStyle name="Примечание 3 10" xfId="18883"/>
    <cellStyle name="Примечание 3 10 2" xfId="21779"/>
    <cellStyle name="Примечание 3 11" xfId="19280"/>
    <cellStyle name="Примечание 3 12" xfId="20116"/>
    <cellStyle name="Примечание 3 13" xfId="19522"/>
    <cellStyle name="Примечание 3 2" xfId="795"/>
    <cellStyle name="Примечание 3 2 10" xfId="20504"/>
    <cellStyle name="Примечание 3 2 11" xfId="23473"/>
    <cellStyle name="Примечание 3 2 12" xfId="23678"/>
    <cellStyle name="Примечание 3 2 2" xfId="1920"/>
    <cellStyle name="Примечание 3 2 2 2" xfId="3299"/>
    <cellStyle name="Примечание 3 2 2 2 10" xfId="20022"/>
    <cellStyle name="Примечание 3 2 2 2 2" xfId="5524"/>
    <cellStyle name="Примечание 3 2 2 2 2 2" xfId="5859"/>
    <cellStyle name="Примечание 3 2 2 2 2 2 2" xfId="21855"/>
    <cellStyle name="Примечание 3 2 2 2 2 2 3" xfId="22782"/>
    <cellStyle name="Примечание 3 2 2 2 2 2 4" xfId="19803"/>
    <cellStyle name="Примечание 3 2 2 2 2 2 5" xfId="21039"/>
    <cellStyle name="Примечание 3 2 2 2 2 2 6" xfId="20310"/>
    <cellStyle name="Примечание 3 2 2 2 2 2 7" xfId="21486"/>
    <cellStyle name="Примечание 3 2 2 2 2 3" xfId="6194"/>
    <cellStyle name="Примечание 3 2 2 2 2 3 2" xfId="23996"/>
    <cellStyle name="Примечание 3 2 2 2 2 3 3" xfId="21006"/>
    <cellStyle name="Примечание 3 2 2 2 2 4" xfId="19039"/>
    <cellStyle name="Примечание 3 2 2 2 2 4 2" xfId="22447"/>
    <cellStyle name="Примечание 3 2 2 2 2 5" xfId="23126"/>
    <cellStyle name="Примечание 3 2 2 2 2 6" xfId="21082"/>
    <cellStyle name="Примечание 3 2 2 2 2 7" xfId="20286"/>
    <cellStyle name="Примечание 3 2 2 2 3" xfId="5544"/>
    <cellStyle name="Примечание 3 2 2 2 3 2" xfId="5879"/>
    <cellStyle name="Примечание 3 2 2 2 3 2 2" xfId="19812"/>
    <cellStyle name="Примечание 3 2 2 2 3 2 3" xfId="22802"/>
    <cellStyle name="Примечание 3 2 2 2 3 2 4" xfId="21663"/>
    <cellStyle name="Примечание 3 2 2 2 3 2 5" xfId="19679"/>
    <cellStyle name="Примечание 3 2 2 2 3 2 6" xfId="20475"/>
    <cellStyle name="Примечание 3 2 2 2 3 2 7" xfId="21506"/>
    <cellStyle name="Примечание 3 2 2 2 3 3" xfId="6214"/>
    <cellStyle name="Примечание 3 2 2 2 3 3 2" xfId="24016"/>
    <cellStyle name="Примечание 3 2 2 2 3 3 3" xfId="20087"/>
    <cellStyle name="Примечание 3 2 2 2 3 4" xfId="19059"/>
    <cellStyle name="Примечание 3 2 2 2 3 4 2" xfId="22467"/>
    <cellStyle name="Примечание 3 2 2 2 3 5" xfId="23374"/>
    <cellStyle name="Примечание 3 2 2 2 3 6" xfId="23588"/>
    <cellStyle name="Примечание 3 2 2 2 3 7" xfId="20890"/>
    <cellStyle name="Примечание 3 2 2 2 4" xfId="5616"/>
    <cellStyle name="Примечание 3 2 2 2 4 2" xfId="22192"/>
    <cellStyle name="Примечание 3 2 2 2 4 3" xfId="22539"/>
    <cellStyle name="Примечание 3 2 2 2 4 4" xfId="23227"/>
    <cellStyle name="Примечание 3 2 2 2 4 5" xfId="20913"/>
    <cellStyle name="Примечание 3 2 2 2 4 6" xfId="23505"/>
    <cellStyle name="Примечание 3 2 2 2 4 7" xfId="21317"/>
    <cellStyle name="Примечание 3 2 2 2 5" xfId="5951"/>
    <cellStyle name="Примечание 3 2 2 2 5 2" xfId="19429"/>
    <cellStyle name="Примечание 3 2 2 2 5 3" xfId="22874"/>
    <cellStyle name="Примечание 3 2 2 2 5 4" xfId="20974"/>
    <cellStyle name="Примечание 3 2 2 2 5 5" xfId="22242"/>
    <cellStyle name="Примечание 3 2 2 2 5 6" xfId="20711"/>
    <cellStyle name="Примечание 3 2 2 2 5 7" xfId="21578"/>
    <cellStyle name="Примечание 3 2 2 2 6" xfId="6286"/>
    <cellStyle name="Примечание 3 2 2 2 6 2" xfId="24088"/>
    <cellStyle name="Примечание 3 2 2 2 6 3" xfId="20081"/>
    <cellStyle name="Примечание 3 2 2 2 7" xfId="16953"/>
    <cellStyle name="Примечание 3 2 2 2 7 2" xfId="24168"/>
    <cellStyle name="Примечание 3 2 2 2 7 3" xfId="21965"/>
    <cellStyle name="Примечание 3 2 2 2 8" xfId="19131"/>
    <cellStyle name="Примечание 3 2 2 2 8 2" xfId="20897"/>
    <cellStyle name="Примечание 3 2 2 2 9" xfId="23573"/>
    <cellStyle name="Примечание 3 2 2 3" xfId="5436"/>
    <cellStyle name="Примечание 3 2 2 3 2" xfId="20712"/>
    <cellStyle name="Примечание 3 2 2 3 3" xfId="22359"/>
    <cellStyle name="Примечание 3 2 2 3 4" xfId="19398"/>
    <cellStyle name="Примечание 3 2 2 3 5" xfId="21937"/>
    <cellStyle name="Примечание 3 2 2 3 6" xfId="23084"/>
    <cellStyle name="Примечание 3 2 2 3 7" xfId="21242"/>
    <cellStyle name="Примечание 3 2 2 4" xfId="5771"/>
    <cellStyle name="Примечание 3 2 2 4 2" xfId="20914"/>
    <cellStyle name="Примечание 3 2 2 4 3" xfId="22694"/>
    <cellStyle name="Примечание 3 2 2 4 4" xfId="23198"/>
    <cellStyle name="Примечание 3 2 2 4 5" xfId="20552"/>
    <cellStyle name="Примечание 3 2 2 4 6" xfId="23211"/>
    <cellStyle name="Примечание 3 2 2 4 7" xfId="21398"/>
    <cellStyle name="Примечание 3 2 2 5" xfId="6106"/>
    <cellStyle name="Примечание 3 2 2 5 2" xfId="23908"/>
    <cellStyle name="Примечание 3 2 2 5 3" xfId="19786"/>
    <cellStyle name="Примечание 3 2 2 6" xfId="18951"/>
    <cellStyle name="Примечание 3 2 2 6 2" xfId="22061"/>
    <cellStyle name="Примечание 3 2 2 7" xfId="22220"/>
    <cellStyle name="Примечание 3 2 2 8" xfId="23161"/>
    <cellStyle name="Примечание 3 2 2 9" xfId="23546"/>
    <cellStyle name="Примечание 3 2 3" xfId="3214"/>
    <cellStyle name="Примечание 3 2 3 10" xfId="19919"/>
    <cellStyle name="Примечание 3 2 3 2" xfId="5617"/>
    <cellStyle name="Примечание 3 2 3 2 2" xfId="5952"/>
    <cellStyle name="Примечание 3 2 3 2 2 2" xfId="20177"/>
    <cellStyle name="Примечание 3 2 3 2 2 3" xfId="22875"/>
    <cellStyle name="Примечание 3 2 3 2 2 4" xfId="19651"/>
    <cellStyle name="Примечание 3 2 3 2 2 5" xfId="21722"/>
    <cellStyle name="Примечание 3 2 3 2 2 6" xfId="22167"/>
    <cellStyle name="Примечание 3 2 3 2 2 7" xfId="21579"/>
    <cellStyle name="Примечание 3 2 3 2 3" xfId="6287"/>
    <cellStyle name="Примечание 3 2 3 2 3 2" xfId="24089"/>
    <cellStyle name="Примечание 3 2 3 2 3 3" xfId="22187"/>
    <cellStyle name="Примечание 3 2 3 2 4" xfId="19132"/>
    <cellStyle name="Примечание 3 2 3 2 4 2" xfId="22540"/>
    <cellStyle name="Примечание 3 2 3 2 5" xfId="23024"/>
    <cellStyle name="Примечание 3 2 3 2 6" xfId="19566"/>
    <cellStyle name="Примечание 3 2 3 2 7" xfId="20088"/>
    <cellStyle name="Примечание 3 2 3 3" xfId="5690"/>
    <cellStyle name="Примечание 3 2 3 3 2" xfId="6025"/>
    <cellStyle name="Примечание 3 2 3 3 2 2" xfId="19913"/>
    <cellStyle name="Примечание 3 2 3 3 2 3" xfId="22948"/>
    <cellStyle name="Примечание 3 2 3 3 2 4" xfId="23420"/>
    <cellStyle name="Примечание 3 2 3 3 2 5" xfId="23646"/>
    <cellStyle name="Примечание 3 2 3 3 2 6" xfId="19649"/>
    <cellStyle name="Примечание 3 2 3 3 2 7" xfId="21652"/>
    <cellStyle name="Примечание 3 2 3 3 3" xfId="6360"/>
    <cellStyle name="Примечание 3 2 3 3 3 2" xfId="24162"/>
    <cellStyle name="Примечание 3 2 3 3 3 3" xfId="22058"/>
    <cellStyle name="Примечание 3 2 3 3 4" xfId="19205"/>
    <cellStyle name="Примечание 3 2 3 3 4 2" xfId="22613"/>
    <cellStyle name="Примечание 3 2 3 3 5" xfId="23098"/>
    <cellStyle name="Примечание 3 2 3 3 6" xfId="20855"/>
    <cellStyle name="Примечание 3 2 3 3 7" xfId="23729"/>
    <cellStyle name="Примечание 3 2 3 4" xfId="5398"/>
    <cellStyle name="Примечание 3 2 3 4 2" xfId="20689"/>
    <cellStyle name="Примечание 3 2 3 4 3" xfId="22321"/>
    <cellStyle name="Примечание 3 2 3 4 4" xfId="23082"/>
    <cellStyle name="Примечание 3 2 3 4 5" xfId="19591"/>
    <cellStyle name="Примечание 3 2 3 4 6" xfId="19841"/>
    <cellStyle name="Примечание 3 2 3 4 7" xfId="21204"/>
    <cellStyle name="Примечание 3 2 3 5" xfId="5733"/>
    <cellStyle name="Примечание 3 2 3 5 2" xfId="22119"/>
    <cellStyle name="Примечание 3 2 3 5 3" xfId="22656"/>
    <cellStyle name="Примечание 3 2 3 5 4" xfId="19820"/>
    <cellStyle name="Примечание 3 2 3 5 5" xfId="19725"/>
    <cellStyle name="Примечание 3 2 3 5 6" xfId="23806"/>
    <cellStyle name="Примечание 3 2 3 5 7" xfId="21360"/>
    <cellStyle name="Примечание 3 2 3 6" xfId="6068"/>
    <cellStyle name="Примечание 3 2 3 6 2" xfId="23870"/>
    <cellStyle name="Примечание 3 2 3 6 3" xfId="20252"/>
    <cellStyle name="Примечание 3 2 3 7" xfId="18913"/>
    <cellStyle name="Примечание 3 2 3 7 2" xfId="21829"/>
    <cellStyle name="Примечание 3 2 3 8" xfId="20632"/>
    <cellStyle name="Примечание 3 2 3 9" xfId="22248"/>
    <cellStyle name="Примечание 3 2 4" xfId="2864"/>
    <cellStyle name="Примечание 3 2 4 10" xfId="23428"/>
    <cellStyle name="Примечание 3 2 4 2" xfId="5621"/>
    <cellStyle name="Примечание 3 2 4 2 2" xfId="5956"/>
    <cellStyle name="Примечание 3 2 4 2 2 2" xfId="19984"/>
    <cellStyle name="Примечание 3 2 4 2 2 3" xfId="22879"/>
    <cellStyle name="Примечание 3 2 4 2 2 4" xfId="20034"/>
    <cellStyle name="Примечание 3 2 4 2 2 5" xfId="23246"/>
    <cellStyle name="Примечание 3 2 4 2 2 6" xfId="23654"/>
    <cellStyle name="Примечание 3 2 4 2 2 7" xfId="21583"/>
    <cellStyle name="Примечание 3 2 4 2 3" xfId="6291"/>
    <cellStyle name="Примечание 3 2 4 2 3 2" xfId="24093"/>
    <cellStyle name="Примечание 3 2 4 2 3 3" xfId="20757"/>
    <cellStyle name="Примечание 3 2 4 2 4" xfId="19136"/>
    <cellStyle name="Примечание 3 2 4 2 4 2" xfId="22544"/>
    <cellStyle name="Примечание 3 2 4 2 5" xfId="23155"/>
    <cellStyle name="Примечание 3 2 4 2 6" xfId="20647"/>
    <cellStyle name="Примечание 3 2 4 2 7" xfId="19252"/>
    <cellStyle name="Примечание 3 2 4 3" xfId="5677"/>
    <cellStyle name="Примечание 3 2 4 3 2" xfId="6012"/>
    <cellStyle name="Примечание 3 2 4 3 2 2" xfId="20226"/>
    <cellStyle name="Примечание 3 2 4 3 2 3" xfId="22935"/>
    <cellStyle name="Примечание 3 2 4 3 2 4" xfId="23407"/>
    <cellStyle name="Примечание 3 2 4 3 2 5" xfId="23633"/>
    <cellStyle name="Примечание 3 2 4 3 2 6" xfId="22977"/>
    <cellStyle name="Примечание 3 2 4 3 2 7" xfId="21639"/>
    <cellStyle name="Примечание 3 2 4 3 3" xfId="6347"/>
    <cellStyle name="Примечание 3 2 4 3 3 2" xfId="24149"/>
    <cellStyle name="Примечание 3 2 4 3 3 3" xfId="21954"/>
    <cellStyle name="Примечание 3 2 4 3 4" xfId="19192"/>
    <cellStyle name="Примечание 3 2 4 3 4 2" xfId="22600"/>
    <cellStyle name="Примечание 3 2 4 3 5" xfId="23348"/>
    <cellStyle name="Примечание 3 2 4 3 6" xfId="20238"/>
    <cellStyle name="Примечание 3 2 4 3 7" xfId="23767"/>
    <cellStyle name="Примечание 3 2 4 4" xfId="5441"/>
    <cellStyle name="Примечание 3 2 4 4 2" xfId="20221"/>
    <cellStyle name="Примечание 3 2 4 4 3" xfId="22364"/>
    <cellStyle name="Примечание 3 2 4 4 4" xfId="23289"/>
    <cellStyle name="Примечание 3 2 4 4 5" xfId="20792"/>
    <cellStyle name="Примечание 3 2 4 4 6" xfId="19709"/>
    <cellStyle name="Примечание 3 2 4 4 7" xfId="21247"/>
    <cellStyle name="Примечание 3 2 4 5" xfId="5776"/>
    <cellStyle name="Примечание 3 2 4 5 2" xfId="20458"/>
    <cellStyle name="Примечание 3 2 4 5 3" xfId="22699"/>
    <cellStyle name="Примечание 3 2 4 5 4" xfId="23071"/>
    <cellStyle name="Примечание 3 2 4 5 5" xfId="19970"/>
    <cellStyle name="Примечание 3 2 4 5 6" xfId="21070"/>
    <cellStyle name="Примечание 3 2 4 5 7" xfId="21403"/>
    <cellStyle name="Примечание 3 2 4 6" xfId="6111"/>
    <cellStyle name="Примечание 3 2 4 6 2" xfId="23913"/>
    <cellStyle name="Примечание 3 2 4 6 3" xfId="20817"/>
    <cellStyle name="Примечание 3 2 4 7" xfId="18956"/>
    <cellStyle name="Примечание 3 2 4 7 2" xfId="19500"/>
    <cellStyle name="Примечание 3 2 4 8" xfId="21145"/>
    <cellStyle name="Примечание 3 2 4 9" xfId="20930"/>
    <cellStyle name="Примечание 3 2 5" xfId="3261"/>
    <cellStyle name="Примечание 3 2 5 10" xfId="20000"/>
    <cellStyle name="Примечание 3 2 5 2" xfId="5665"/>
    <cellStyle name="Примечание 3 2 5 2 2" xfId="6000"/>
    <cellStyle name="Примечание 3 2 5 2 2 2" xfId="19869"/>
    <cellStyle name="Примечание 3 2 5 2 2 3" xfId="22923"/>
    <cellStyle name="Примечание 3 2 5 2 2 4" xfId="23395"/>
    <cellStyle name="Примечание 3 2 5 2 2 5" xfId="20243"/>
    <cellStyle name="Примечание 3 2 5 2 2 6" xfId="23529"/>
    <cellStyle name="Примечание 3 2 5 2 2 7" xfId="21627"/>
    <cellStyle name="Примечание 3 2 5 2 3" xfId="6335"/>
    <cellStyle name="Примечание 3 2 5 2 3 2" xfId="24137"/>
    <cellStyle name="Примечание 3 2 5 2 3 3" xfId="20199"/>
    <cellStyle name="Примечание 3 2 5 2 4" xfId="19180"/>
    <cellStyle name="Примечание 3 2 5 2 4 2" xfId="22588"/>
    <cellStyle name="Примечание 3 2 5 2 5" xfId="23330"/>
    <cellStyle name="Примечание 3 2 5 2 6" xfId="22264"/>
    <cellStyle name="Примечание 3 2 5 2 7" xfId="20212"/>
    <cellStyle name="Примечание 3 2 5 3" xfId="5479"/>
    <cellStyle name="Примечание 3 2 5 3 2" xfId="5814"/>
    <cellStyle name="Примечание 3 2 5 3 2 2" xfId="19425"/>
    <cellStyle name="Примечание 3 2 5 3 2 3" xfId="22737"/>
    <cellStyle name="Примечание 3 2 5 3 2 4" xfId="22234"/>
    <cellStyle name="Примечание 3 2 5 3 2 5" xfId="23533"/>
    <cellStyle name="Примечание 3 2 5 3 2 6" xfId="21844"/>
    <cellStyle name="Примечание 3 2 5 3 2 7" xfId="21441"/>
    <cellStyle name="Примечание 3 2 5 3 3" xfId="6149"/>
    <cellStyle name="Примечание 3 2 5 3 3 2" xfId="23951"/>
    <cellStyle name="Примечание 3 2 5 3 3 3" xfId="21670"/>
    <cellStyle name="Примечание 3 2 5 3 4" xfId="18994"/>
    <cellStyle name="Примечание 3 2 5 3 4 2" xfId="22402"/>
    <cellStyle name="Примечание 3 2 5 3 5" xfId="23263"/>
    <cellStyle name="Примечание 3 2 5 3 6" xfId="19336"/>
    <cellStyle name="Примечание 3 2 5 3 7" xfId="20894"/>
    <cellStyle name="Примечание 3 2 5 4" xfId="5578"/>
    <cellStyle name="Примечание 3 2 5 4 2" xfId="21024"/>
    <cellStyle name="Примечание 3 2 5 4 3" xfId="22501"/>
    <cellStyle name="Примечание 3 2 5 4 4" xfId="23168"/>
    <cellStyle name="Примечание 3 2 5 4 5" xfId="23489"/>
    <cellStyle name="Примечание 3 2 5 4 6" xfId="21805"/>
    <cellStyle name="Примечание 3 2 5 4 7" xfId="21279"/>
    <cellStyle name="Примечание 3 2 5 5" xfId="5913"/>
    <cellStyle name="Примечание 3 2 5 5 2" xfId="21711"/>
    <cellStyle name="Примечание 3 2 5 5 3" xfId="22836"/>
    <cellStyle name="Примечание 3 2 5 5 4" xfId="21846"/>
    <cellStyle name="Примечание 3 2 5 5 5" xfId="19264"/>
    <cellStyle name="Примечание 3 2 5 5 6" xfId="20819"/>
    <cellStyle name="Примечание 3 2 5 5 7" xfId="21540"/>
    <cellStyle name="Примечание 3 2 5 6" xfId="6248"/>
    <cellStyle name="Примечание 3 2 5 6 2" xfId="24050"/>
    <cellStyle name="Примечание 3 2 5 6 3" xfId="19421"/>
    <cellStyle name="Примечание 3 2 5 7" xfId="19093"/>
    <cellStyle name="Примечание 3 2 5 7 2" xfId="19471"/>
    <cellStyle name="Примечание 3 2 5 8" xfId="21729"/>
    <cellStyle name="Примечание 3 2 5 9" xfId="19692"/>
    <cellStyle name="Примечание 3 2 6" xfId="5374"/>
    <cellStyle name="Примечание 3 2 6 2" xfId="21021"/>
    <cellStyle name="Примечание 3 2 6 3" xfId="22297"/>
    <cellStyle name="Примечание 3 2 6 4" xfId="23385"/>
    <cellStyle name="Примечание 3 2 6 5" xfId="20393"/>
    <cellStyle name="Примечание 3 2 6 6" xfId="23704"/>
    <cellStyle name="Примечание 3 2 6 7" xfId="21180"/>
    <cellStyle name="Примечание 3 2 7" xfId="5709"/>
    <cellStyle name="Примечание 3 2 7 2" xfId="19691"/>
    <cellStyle name="Примечание 3 2 7 3" xfId="22632"/>
    <cellStyle name="Примечание 3 2 7 4" xfId="21819"/>
    <cellStyle name="Примечание 3 2 7 5" xfId="21737"/>
    <cellStyle name="Примечание 3 2 7 6" xfId="23619"/>
    <cellStyle name="Примечание 3 2 7 7" xfId="21336"/>
    <cellStyle name="Примечание 3 2 8" xfId="6044"/>
    <cellStyle name="Примечание 3 2 8 2" xfId="23846"/>
    <cellStyle name="Примечание 3 2 8 3" xfId="21942"/>
    <cellStyle name="Примечание 3 2 9" xfId="18889"/>
    <cellStyle name="Примечание 3 2 9 2" xfId="20645"/>
    <cellStyle name="Примечание 3 3" xfId="1331"/>
    <cellStyle name="Примечание 3 3 2" xfId="3274"/>
    <cellStyle name="Примечание 3 3 2 10" xfId="23783"/>
    <cellStyle name="Примечание 3 3 2 2" xfId="5531"/>
    <cellStyle name="Примечание 3 3 2 2 2" xfId="5866"/>
    <cellStyle name="Примечание 3 3 2 2 2 2" xfId="21820"/>
    <cellStyle name="Примечание 3 3 2 2 2 3" xfId="22789"/>
    <cellStyle name="Примечание 3 3 2 2 2 4" xfId="19457"/>
    <cellStyle name="Примечание 3 3 2 2 2 5" xfId="19352"/>
    <cellStyle name="Примечание 3 3 2 2 2 6" xfId="22143"/>
    <cellStyle name="Примечание 3 3 2 2 2 7" xfId="21493"/>
    <cellStyle name="Примечание 3 3 2 2 3" xfId="6201"/>
    <cellStyle name="Примечание 3 3 2 2 3 2" xfId="24003"/>
    <cellStyle name="Примечание 3 3 2 2 3 3" xfId="19572"/>
    <cellStyle name="Примечание 3 3 2 2 4" xfId="19046"/>
    <cellStyle name="Примечание 3 3 2 2 4 2" xfId="22454"/>
    <cellStyle name="Примечание 3 3 2 2 5" xfId="23196"/>
    <cellStyle name="Примечание 3 3 2 2 6" xfId="20068"/>
    <cellStyle name="Примечание 3 3 2 2 7" xfId="20611"/>
    <cellStyle name="Примечание 3 3 2 3" xfId="5469"/>
    <cellStyle name="Примечание 3 3 2 3 2" xfId="5804"/>
    <cellStyle name="Примечание 3 3 2 3 2 2" xfId="20329"/>
    <cellStyle name="Примечание 3 3 2 3 2 3" xfId="22727"/>
    <cellStyle name="Примечание 3 3 2 3 2 4" xfId="22072"/>
    <cellStyle name="Примечание 3 3 2 3 2 5" xfId="23506"/>
    <cellStyle name="Примечание 3 3 2 3 2 6" xfId="19630"/>
    <cellStyle name="Примечание 3 3 2 3 2 7" xfId="21431"/>
    <cellStyle name="Примечание 3 3 2 3 3" xfId="6139"/>
    <cellStyle name="Примечание 3 3 2 3 3 2" xfId="23941"/>
    <cellStyle name="Примечание 3 3 2 3 3 3" xfId="20592"/>
    <cellStyle name="Примечание 3 3 2 3 4" xfId="18984"/>
    <cellStyle name="Примечание 3 3 2 3 4 2" xfId="22392"/>
    <cellStyle name="Примечание 3 3 2 3 5" xfId="23287"/>
    <cellStyle name="Примечание 3 3 2 3 6" xfId="22960"/>
    <cellStyle name="Примечание 3 3 2 3 7" xfId="19727"/>
    <cellStyle name="Примечание 3 3 2 4" xfId="5591"/>
    <cellStyle name="Примечание 3 3 2 4 2" xfId="22147"/>
    <cellStyle name="Примечание 3 3 2 4 3" xfId="22514"/>
    <cellStyle name="Примечание 3 3 2 4 4" xfId="23242"/>
    <cellStyle name="Примечание 3 3 2 4 5" xfId="23356"/>
    <cellStyle name="Примечание 3 3 2 4 6" xfId="23787"/>
    <cellStyle name="Примечание 3 3 2 4 7" xfId="21292"/>
    <cellStyle name="Примечание 3 3 2 5" xfId="5926"/>
    <cellStyle name="Примечание 3 3 2 5 2" xfId="20679"/>
    <cellStyle name="Примечание 3 3 2 5 3" xfId="22849"/>
    <cellStyle name="Примечание 3 3 2 5 4" xfId="20076"/>
    <cellStyle name="Примечание 3 3 2 5 5" xfId="21035"/>
    <cellStyle name="Примечание 3 3 2 5 6" xfId="20007"/>
    <cellStyle name="Примечание 3 3 2 5 7" xfId="21553"/>
    <cellStyle name="Примечание 3 3 2 6" xfId="6261"/>
    <cellStyle name="Примечание 3 3 2 6 2" xfId="24063"/>
    <cellStyle name="Примечание 3 3 2 6 3" xfId="19587"/>
    <cellStyle name="Примечание 3 3 2 7" xfId="16954"/>
    <cellStyle name="Примечание 3 3 2 7 2" xfId="24169"/>
    <cellStyle name="Примечание 3 3 2 7 3" xfId="20965"/>
    <cellStyle name="Примечание 3 3 2 8" xfId="19106"/>
    <cellStyle name="Примечание 3 3 2 8 2" xfId="21658"/>
    <cellStyle name="Примечание 3 3 2 9" xfId="19752"/>
    <cellStyle name="Примечание 3 3 3" xfId="5411"/>
    <cellStyle name="Примечание 3 3 3 2" xfId="22012"/>
    <cellStyle name="Примечание 3 3 3 3" xfId="22334"/>
    <cellStyle name="Примечание 3 3 3 4" xfId="23290"/>
    <cellStyle name="Примечание 3 3 3 5" xfId="21136"/>
    <cellStyle name="Примечание 3 3 3 6" xfId="23807"/>
    <cellStyle name="Примечание 3 3 3 7" xfId="21217"/>
    <cellStyle name="Примечание 3 3 4" xfId="5746"/>
    <cellStyle name="Примечание 3 3 4 2" xfId="19478"/>
    <cellStyle name="Примечание 3 3 4 3" xfId="22669"/>
    <cellStyle name="Примечание 3 3 4 4" xfId="19831"/>
    <cellStyle name="Примечание 3 3 4 5" xfId="23014"/>
    <cellStyle name="Примечание 3 3 4 6" xfId="23466"/>
    <cellStyle name="Примечание 3 3 4 7" xfId="21373"/>
    <cellStyle name="Примечание 3 3 5" xfId="6081"/>
    <cellStyle name="Примечание 3 3 5 2" xfId="23883"/>
    <cellStyle name="Примечание 3 3 5 3" xfId="19793"/>
    <cellStyle name="Примечание 3 3 6" xfId="18926"/>
    <cellStyle name="Примечание 3 3 6 2" xfId="20853"/>
    <cellStyle name="Примечание 3 3 7" xfId="23353"/>
    <cellStyle name="Примечание 3 3 8" xfId="22273"/>
    <cellStyle name="Примечание 3 3 9" xfId="21899"/>
    <cellStyle name="Примечание 3 4" xfId="1733"/>
    <cellStyle name="Примечание 3 4 2" xfId="3289"/>
    <cellStyle name="Примечание 3 4 2 10" xfId="19452"/>
    <cellStyle name="Примечание 3 4 2 2" xfId="5551"/>
    <cellStyle name="Примечание 3 4 2 2 2" xfId="5886"/>
    <cellStyle name="Примечание 3 4 2 2 2 2" xfId="20975"/>
    <cellStyle name="Примечание 3 4 2 2 2 3" xfId="22809"/>
    <cellStyle name="Примечание 3 4 2 2 2 4" xfId="20874"/>
    <cellStyle name="Примечание 3 4 2 2 2 5" xfId="21062"/>
    <cellStyle name="Примечание 3 4 2 2 2 6" xfId="20309"/>
    <cellStyle name="Примечание 3 4 2 2 2 7" xfId="21513"/>
    <cellStyle name="Примечание 3 4 2 2 3" xfId="6221"/>
    <cellStyle name="Примечание 3 4 2 2 3 2" xfId="24023"/>
    <cellStyle name="Примечание 3 4 2 2 3 3" xfId="22049"/>
    <cellStyle name="Примечание 3 4 2 2 4" xfId="19066"/>
    <cellStyle name="Примечание 3 4 2 2 4 2" xfId="22474"/>
    <cellStyle name="Примечание 3 4 2 2 5" xfId="23288"/>
    <cellStyle name="Примечание 3 4 2 2 6" xfId="23612"/>
    <cellStyle name="Примечание 3 4 2 2 7" xfId="21152"/>
    <cellStyle name="Примечание 3 4 2 3" xfId="5647"/>
    <cellStyle name="Примечание 3 4 2 3 2" xfId="5982"/>
    <cellStyle name="Примечание 3 4 2 3 2 2" xfId="20111"/>
    <cellStyle name="Примечание 3 4 2 3 2 3" xfId="22905"/>
    <cellStyle name="Примечание 3 4 2 3 2 4" xfId="22188"/>
    <cellStyle name="Примечание 3 4 2 3 2 5" xfId="19980"/>
    <cellStyle name="Примечание 3 4 2 3 2 6" xfId="19838"/>
    <cellStyle name="Примечание 3 4 2 3 2 7" xfId="21609"/>
    <cellStyle name="Примечание 3 4 2 3 3" xfId="6317"/>
    <cellStyle name="Примечание 3 4 2 3 3 2" xfId="24119"/>
    <cellStyle name="Примечание 3 4 2 3 3 3" xfId="20955"/>
    <cellStyle name="Примечание 3 4 2 3 4" xfId="19162"/>
    <cellStyle name="Примечание 3 4 2 3 4 2" xfId="22570"/>
    <cellStyle name="Примечание 3 4 2 3 5" xfId="23190"/>
    <cellStyle name="Примечание 3 4 2 3 6" xfId="20607"/>
    <cellStyle name="Примечание 3 4 2 3 7" xfId="20547"/>
    <cellStyle name="Примечание 3 4 2 4" xfId="5606"/>
    <cellStyle name="Примечание 3 4 2 4 2" xfId="19936"/>
    <cellStyle name="Примечание 3 4 2 4 3" xfId="22529"/>
    <cellStyle name="Примечание 3 4 2 4 4" xfId="20883"/>
    <cellStyle name="Примечание 3 4 2 4 5" xfId="20762"/>
    <cellStyle name="Примечание 3 4 2 4 6" xfId="19295"/>
    <cellStyle name="Примечание 3 4 2 4 7" xfId="21307"/>
    <cellStyle name="Примечание 3 4 2 5" xfId="5941"/>
    <cellStyle name="Примечание 3 4 2 5 2" xfId="21142"/>
    <cellStyle name="Примечание 3 4 2 5 3" xfId="22864"/>
    <cellStyle name="Примечание 3 4 2 5 4" xfId="20837"/>
    <cellStyle name="Примечание 3 4 2 5 5" xfId="19981"/>
    <cellStyle name="Примечание 3 4 2 5 6" xfId="20304"/>
    <cellStyle name="Примечание 3 4 2 5 7" xfId="21568"/>
    <cellStyle name="Примечание 3 4 2 6" xfId="6276"/>
    <cellStyle name="Примечание 3 4 2 6 2" xfId="24078"/>
    <cellStyle name="Примечание 3 4 2 6 3" xfId="19813"/>
    <cellStyle name="Примечание 3 4 2 7" xfId="19121"/>
    <cellStyle name="Примечание 3 4 2 7 2" xfId="21032"/>
    <cellStyle name="Примечание 3 4 2 8" xfId="20191"/>
    <cellStyle name="Примечание 3 4 2 9" xfId="20664"/>
    <cellStyle name="Примечание 3 4 3" xfId="5426"/>
    <cellStyle name="Примечание 3 4 3 2" xfId="21978"/>
    <cellStyle name="Примечание 3 4 3 3" xfId="22349"/>
    <cellStyle name="Примечание 3 4 3 4" xfId="23225"/>
    <cellStyle name="Примечание 3 4 3 5" xfId="23499"/>
    <cellStyle name="Примечание 3 4 3 6" xfId="19930"/>
    <cellStyle name="Примечание 3 4 3 7" xfId="21232"/>
    <cellStyle name="Примечание 3 4 4" xfId="5761"/>
    <cellStyle name="Примечание 3 4 4 2" xfId="20771"/>
    <cellStyle name="Примечание 3 4 4 3" xfId="22684"/>
    <cellStyle name="Примечание 3 4 4 4" xfId="20462"/>
    <cellStyle name="Примечание 3 4 4 5" xfId="20163"/>
    <cellStyle name="Примечание 3 4 4 6" xfId="19315"/>
    <cellStyle name="Примечание 3 4 4 7" xfId="21388"/>
    <cellStyle name="Примечание 3 4 5" xfId="6096"/>
    <cellStyle name="Примечание 3 4 5 2" xfId="23898"/>
    <cellStyle name="Примечание 3 4 5 3" xfId="19550"/>
    <cellStyle name="Примечание 3 4 6" xfId="18941"/>
    <cellStyle name="Примечание 3 4 6 2" xfId="21708"/>
    <cellStyle name="Примечание 3 4 7" xfId="19575"/>
    <cellStyle name="Примечание 3 4 8" xfId="23532"/>
    <cellStyle name="Примечание 3 4 9" xfId="23658"/>
    <cellStyle name="Примечание 3 5" xfId="3097"/>
    <cellStyle name="Примечание 3 5 10" xfId="19415"/>
    <cellStyle name="Примечание 3 5 2" xfId="5522"/>
    <cellStyle name="Примечание 3 5 2 2" xfId="5857"/>
    <cellStyle name="Примечание 3 5 2 2 2" xfId="20033"/>
    <cellStyle name="Примечание 3 5 2 2 3" xfId="22780"/>
    <cellStyle name="Примечание 3 5 2 2 4" xfId="20682"/>
    <cellStyle name="Примечание 3 5 2 2 5" xfId="20742"/>
    <cellStyle name="Примечание 3 5 2 2 6" xfId="20343"/>
    <cellStyle name="Примечание 3 5 2 2 7" xfId="21484"/>
    <cellStyle name="Примечание 3 5 2 3" xfId="6192"/>
    <cellStyle name="Примечание 3 5 2 3 2" xfId="23994"/>
    <cellStyle name="Примечание 3 5 2 3 3" xfId="20684"/>
    <cellStyle name="Примечание 3 5 2 4" xfId="19037"/>
    <cellStyle name="Примечание 3 5 2 4 2" xfId="22445"/>
    <cellStyle name="Примечание 3 5 2 5" xfId="23011"/>
    <cellStyle name="Примечание 3 5 2 6" xfId="20325"/>
    <cellStyle name="Примечание 3 5 2 7" xfId="23468"/>
    <cellStyle name="Примечание 3 5 3" xfId="5686"/>
    <cellStyle name="Примечание 3 5 3 2" xfId="6021"/>
    <cellStyle name="Примечание 3 5 3 2 2" xfId="20602"/>
    <cellStyle name="Примечание 3 5 3 2 3" xfId="22944"/>
    <cellStyle name="Примечание 3 5 3 2 4" xfId="23416"/>
    <cellStyle name="Примечание 3 5 3 2 5" xfId="23642"/>
    <cellStyle name="Примечание 3 5 3 2 6" xfId="20122"/>
    <cellStyle name="Примечание 3 5 3 2 7" xfId="21648"/>
    <cellStyle name="Примечание 3 5 3 3" xfId="6356"/>
    <cellStyle name="Примечание 3 5 3 3 2" xfId="24158"/>
    <cellStyle name="Примечание 3 5 3 3 3" xfId="21927"/>
    <cellStyle name="Примечание 3 5 3 4" xfId="19201"/>
    <cellStyle name="Примечание 3 5 3 4 2" xfId="22609"/>
    <cellStyle name="Примечание 3 5 3 5" xfId="23120"/>
    <cellStyle name="Примечание 3 5 3 6" xfId="20173"/>
    <cellStyle name="Примечание 3 5 3 7" xfId="23755"/>
    <cellStyle name="Примечание 3 5 4" xfId="5388"/>
    <cellStyle name="Примечание 3 5 4 2" xfId="21041"/>
    <cellStyle name="Примечание 3 5 4 3" xfId="22311"/>
    <cellStyle name="Примечание 3 5 4 4" xfId="19789"/>
    <cellStyle name="Примечание 3 5 4 5" xfId="21063"/>
    <cellStyle name="Примечание 3 5 4 6" xfId="22226"/>
    <cellStyle name="Примечание 3 5 4 7" xfId="21194"/>
    <cellStyle name="Примечание 3 5 5" xfId="5723"/>
    <cellStyle name="Примечание 3 5 5 2" xfId="19890"/>
    <cellStyle name="Примечание 3 5 5 3" xfId="22646"/>
    <cellStyle name="Примечание 3 5 5 4" xfId="20009"/>
    <cellStyle name="Примечание 3 5 5 5" xfId="21066"/>
    <cellStyle name="Примечание 3 5 5 6" xfId="23015"/>
    <cellStyle name="Примечание 3 5 5 7" xfId="21350"/>
    <cellStyle name="Примечание 3 5 6" xfId="6058"/>
    <cellStyle name="Примечание 3 5 6 2" xfId="23860"/>
    <cellStyle name="Примечание 3 5 6 3" xfId="19856"/>
    <cellStyle name="Примечание 3 5 7" xfId="18903"/>
    <cellStyle name="Примечание 3 5 7 2" xfId="19445"/>
    <cellStyle name="Примечание 3 5 8" xfId="20780"/>
    <cellStyle name="Примечание 3 5 9" xfId="19237"/>
    <cellStyle name="Примечание 3 6" xfId="3251"/>
    <cellStyle name="Примечание 3 6 10" xfId="23601"/>
    <cellStyle name="Примечание 3 6 2" xfId="5496"/>
    <cellStyle name="Примечание 3 6 2 2" xfId="5831"/>
    <cellStyle name="Примечание 3 6 2 2 2" xfId="20184"/>
    <cellStyle name="Примечание 3 6 2 2 3" xfId="22754"/>
    <cellStyle name="Примечание 3 6 2 2 4" xfId="20407"/>
    <cellStyle name="Примечание 3 6 2 2 5" xfId="22099"/>
    <cellStyle name="Примечание 3 6 2 2 6" xfId="22042"/>
    <cellStyle name="Примечание 3 6 2 2 7" xfId="21458"/>
    <cellStyle name="Примечание 3 6 2 3" xfId="6166"/>
    <cellStyle name="Примечание 3 6 2 3 2" xfId="23968"/>
    <cellStyle name="Примечание 3 6 2 3 3" xfId="21692"/>
    <cellStyle name="Примечание 3 6 2 4" xfId="19011"/>
    <cellStyle name="Примечание 3 6 2 4 2" xfId="22419"/>
    <cellStyle name="Примечание 3 6 2 5" xfId="22986"/>
    <cellStyle name="Примечание 3 6 2 6" xfId="19840"/>
    <cellStyle name="Примечание 3 6 2 7" xfId="23320"/>
    <cellStyle name="Примечание 3 6 3" xfId="5537"/>
    <cellStyle name="Примечание 3 6 3 2" xfId="5872"/>
    <cellStyle name="Примечание 3 6 3 2 2" xfId="19590"/>
    <cellStyle name="Примечание 3 6 3 2 3" xfId="22795"/>
    <cellStyle name="Примечание 3 6 3 2 4" xfId="20902"/>
    <cellStyle name="Примечание 3 6 3 2 5" xfId="20915"/>
    <cellStyle name="Примечание 3 6 3 2 6" xfId="23352"/>
    <cellStyle name="Примечание 3 6 3 2 7" xfId="21499"/>
    <cellStyle name="Примечание 3 6 3 3" xfId="6207"/>
    <cellStyle name="Примечание 3 6 3 3 2" xfId="24009"/>
    <cellStyle name="Примечание 3 6 3 3 3" xfId="19746"/>
    <cellStyle name="Примечание 3 6 3 4" xfId="19052"/>
    <cellStyle name="Примечание 3 6 3 4 2" xfId="22460"/>
    <cellStyle name="Примечание 3 6 3 5" xfId="23373"/>
    <cellStyle name="Примечание 3 6 3 6" xfId="21672"/>
    <cellStyle name="Примечание 3 6 3 7" xfId="21832"/>
    <cellStyle name="Примечание 3 6 4" xfId="5568"/>
    <cellStyle name="Примечание 3 6 4 2" xfId="22107"/>
    <cellStyle name="Примечание 3 6 4 3" xfId="22491"/>
    <cellStyle name="Примечание 3 6 4 4" xfId="23264"/>
    <cellStyle name="Примечание 3 6 4 5" xfId="22106"/>
    <cellStyle name="Примечание 3 6 4 6" xfId="23823"/>
    <cellStyle name="Примечание 3 6 4 7" xfId="21269"/>
    <cellStyle name="Примечание 3 6 5" xfId="5903"/>
    <cellStyle name="Примечание 3 6 5 2" xfId="20395"/>
    <cellStyle name="Примечание 3 6 5 3" xfId="22826"/>
    <cellStyle name="Примечание 3 6 5 4" xfId="20725"/>
    <cellStyle name="Примечание 3 6 5 5" xfId="20097"/>
    <cellStyle name="Примечание 3 6 5 6" xfId="23589"/>
    <cellStyle name="Примечание 3 6 5 7" xfId="21530"/>
    <cellStyle name="Примечание 3 6 6" xfId="6238"/>
    <cellStyle name="Примечание 3 6 6 2" xfId="24040"/>
    <cellStyle name="Примечание 3 6 6 3" xfId="19454"/>
    <cellStyle name="Примечание 3 6 7" xfId="19083"/>
    <cellStyle name="Примечание 3 6 7 2" xfId="20255"/>
    <cellStyle name="Примечание 3 6 8" xfId="20495"/>
    <cellStyle name="Примечание 3 6 9" xfId="20912"/>
    <cellStyle name="Примечание 3 7" xfId="5368"/>
    <cellStyle name="Примечание 3 7 2" xfId="21977"/>
    <cellStyle name="Примечание 3 7 3" xfId="22291"/>
    <cellStyle name="Примечание 3 7 4" xfId="23180"/>
    <cellStyle name="Примечание 3 7 5" xfId="19385"/>
    <cellStyle name="Примечание 3 7 6" xfId="23450"/>
    <cellStyle name="Примечание 3 7 7" xfId="21174"/>
    <cellStyle name="Примечание 3 8" xfId="5703"/>
    <cellStyle name="Примечание 3 8 2" xfId="19762"/>
    <cellStyle name="Примечание 3 8 3" xfId="22626"/>
    <cellStyle name="Примечание 3 8 4" xfId="20766"/>
    <cellStyle name="Примечание 3 8 5" xfId="20811"/>
    <cellStyle name="Примечание 3 8 6" xfId="21719"/>
    <cellStyle name="Примечание 3 8 7" xfId="21330"/>
    <cellStyle name="Примечание 3 9" xfId="6038"/>
    <cellStyle name="Примечание 3 9 2" xfId="23840"/>
    <cellStyle name="Примечание 3 9 3" xfId="19470"/>
    <cellStyle name="Процентный 2" xfId="450"/>
    <cellStyle name="Процентный 2 2" xfId="451"/>
    <cellStyle name="Процентный 2 2 2" xfId="796"/>
    <cellStyle name="Процентный 2 2 2 2" xfId="1921"/>
    <cellStyle name="Процентный 2 2 2 3" xfId="16955"/>
    <cellStyle name="Процентный 2 2 3" xfId="1734"/>
    <cellStyle name="Процентный 2 2 4" xfId="3098"/>
    <cellStyle name="Процентный 2 3" xfId="452"/>
    <cellStyle name="Процентный 2 3 2" xfId="3099"/>
    <cellStyle name="Процентный 2 3 2 2" xfId="3226"/>
    <cellStyle name="Процентный 2 3 3" xfId="2865"/>
    <cellStyle name="Процентный 2 3 3 2" xfId="16956"/>
    <cellStyle name="Процентный 2 3 4" xfId="3225"/>
    <cellStyle name="Процентный 2 4" xfId="16957"/>
    <cellStyle name="Процентный 3" xfId="453"/>
    <cellStyle name="Процентный 3 2" xfId="454"/>
    <cellStyle name="Процентный 3 2 2" xfId="797"/>
    <cellStyle name="Процентный 3 2 2 2" xfId="16958"/>
    <cellStyle name="Процентный 3 2 3" xfId="1735"/>
    <cellStyle name="Процентный 3 2 4" xfId="3100"/>
    <cellStyle name="Процентный 3 3" xfId="455"/>
    <cellStyle name="Процентный 3 3 2" xfId="3101"/>
    <cellStyle name="Процентный 3 3 3" xfId="2866"/>
    <cellStyle name="Процентный 3 4" xfId="16959"/>
    <cellStyle name="Процентный 4" xfId="3227"/>
    <cellStyle name="Связанная ячейка 2" xfId="456"/>
    <cellStyle name="Связанная ячейка 2 2" xfId="457"/>
    <cellStyle name="Связанная ячейка 2 3" xfId="16960"/>
    <cellStyle name="Связанная ячейка 3" xfId="2867"/>
    <cellStyle name="Стиль 1" xfId="458"/>
    <cellStyle name="Стиль 1 2" xfId="459"/>
    <cellStyle name="Стиль 1 2 2" xfId="1736"/>
    <cellStyle name="Стиль 1 3" xfId="460"/>
    <cellStyle name="Стиль 1 3 2" xfId="461"/>
    <cellStyle name="Стиль 1 3 2 2" xfId="1737"/>
    <cellStyle name="Стиль 1 3 3" xfId="798"/>
    <cellStyle name="Стиль 1 3 3 2" xfId="16961"/>
    <cellStyle name="Стиль 1 3 3 3" xfId="16962"/>
    <cellStyle name="Стиль 1 3 4" xfId="3102"/>
    <cellStyle name="Стиль 1 4" xfId="2868"/>
    <cellStyle name="Текст предупреждения 2" xfId="462"/>
    <cellStyle name="Текст предупреждения 2 2" xfId="463"/>
    <cellStyle name="Текст предупреждения 2 3" xfId="16963"/>
    <cellStyle name="Текст предупреждения 3" xfId="2869"/>
    <cellStyle name="Финансовый 2" xfId="464"/>
    <cellStyle name="Финансовый 2 10" xfId="3229"/>
    <cellStyle name="Финансовый 2 10 2" xfId="16964"/>
    <cellStyle name="Финансовый 2 11" xfId="16965"/>
    <cellStyle name="Финансовый 2 14" xfId="465"/>
    <cellStyle name="Финансовый 2 14 2" xfId="466"/>
    <cellStyle name="Финансовый 2 14 2 2" xfId="799"/>
    <cellStyle name="Финансовый 2 14 2 2 2" xfId="16966"/>
    <cellStyle name="Финансовый 2 14 2 3" xfId="1738"/>
    <cellStyle name="Финансовый 2 14 2 4" xfId="3103"/>
    <cellStyle name="Финансовый 2 14 3" xfId="467"/>
    <cellStyle name="Финансовый 2 14 3 2" xfId="3104"/>
    <cellStyle name="Финансовый 2 14 3 3" xfId="2871"/>
    <cellStyle name="Финансовый 2 14 4" xfId="16967"/>
    <cellStyle name="Финансовый 2 2" xfId="468"/>
    <cellStyle name="Финансовый 2 2 2" xfId="469"/>
    <cellStyle name="Финансовый 2 2 2 2" xfId="470"/>
    <cellStyle name="Финансовый 2 2 2 2 2" xfId="471"/>
    <cellStyle name="Финансовый 2 2 2 2 2 2" xfId="472"/>
    <cellStyle name="Финансовый 2 2 2 2 2 2 2" xfId="800"/>
    <cellStyle name="Финансовый 2 2 2 2 2 2 2 2" xfId="1922"/>
    <cellStyle name="Финансовый 2 2 2 2 2 2 2 3" xfId="16968"/>
    <cellStyle name="Финансовый 2 2 2 2 2 2 3" xfId="1739"/>
    <cellStyle name="Финансовый 2 2 2 2 2 2 4" xfId="3105"/>
    <cellStyle name="Финансовый 2 2 2 2 2 3" xfId="473"/>
    <cellStyle name="Финансовый 2 2 2 2 2 3 2" xfId="3106"/>
    <cellStyle name="Финансовый 2 2 2 2 2 3 3" xfId="2875"/>
    <cellStyle name="Финансовый 2 2 2 2 2 4" xfId="16969"/>
    <cellStyle name="Финансовый 2 2 2 2 3" xfId="474"/>
    <cellStyle name="Финансовый 2 2 2 2 3 2" xfId="801"/>
    <cellStyle name="Финансовый 2 2 2 2 3 2 2" xfId="1923"/>
    <cellStyle name="Финансовый 2 2 2 2 3 2 2 2" xfId="4461"/>
    <cellStyle name="Финансовый 2 2 2 2 3 2 2 2 2" xfId="9579"/>
    <cellStyle name="Финансовый 2 2 2 2 3 2 2 2 2 2" xfId="16970"/>
    <cellStyle name="Финансовый 2 2 2 2 3 2 2 2 3" xfId="16971"/>
    <cellStyle name="Финансовый 2 2 2 2 3 2 2 3" xfId="7523"/>
    <cellStyle name="Финансовый 2 2 2 2 3 2 2 3 2" xfId="16972"/>
    <cellStyle name="Финансовый 2 2 2 2 3 2 2 4" xfId="16973"/>
    <cellStyle name="Финансовый 2 2 2 2 3 2 3" xfId="3433"/>
    <cellStyle name="Финансовый 2 2 2 2 3 2 3 2" xfId="8551"/>
    <cellStyle name="Финансовый 2 2 2 2 3 2 3 2 2" xfId="16974"/>
    <cellStyle name="Финансовый 2 2 2 2 3 2 3 3" xfId="16975"/>
    <cellStyle name="Финансовый 2 2 2 2 3 2 4" xfId="6495"/>
    <cellStyle name="Финансовый 2 2 2 2 3 2 4 2" xfId="16976"/>
    <cellStyle name="Финансовый 2 2 2 2 3 2 5" xfId="16977"/>
    <cellStyle name="Финансовый 2 2 2 2 3 2 6" xfId="16978"/>
    <cellStyle name="Финансовый 2 2 2 2 3 3" xfId="977"/>
    <cellStyle name="Финансовый 2 2 2 2 3 3 2" xfId="2096"/>
    <cellStyle name="Финансовый 2 2 2 2 3 3 2 2" xfId="4634"/>
    <cellStyle name="Финансовый 2 2 2 2 3 3 2 2 2" xfId="9752"/>
    <cellStyle name="Финансовый 2 2 2 2 3 3 2 2 2 2" xfId="16979"/>
    <cellStyle name="Финансовый 2 2 2 2 3 3 2 2 3" xfId="16980"/>
    <cellStyle name="Финансовый 2 2 2 2 3 3 2 3" xfId="7696"/>
    <cellStyle name="Финансовый 2 2 2 2 3 3 2 3 2" xfId="16981"/>
    <cellStyle name="Финансовый 2 2 2 2 3 3 2 4" xfId="16982"/>
    <cellStyle name="Финансовый 2 2 2 2 3 3 3" xfId="3606"/>
    <cellStyle name="Финансовый 2 2 2 2 3 3 3 2" xfId="8724"/>
    <cellStyle name="Финансовый 2 2 2 2 3 3 3 2 2" xfId="16983"/>
    <cellStyle name="Финансовый 2 2 2 2 3 3 3 3" xfId="16984"/>
    <cellStyle name="Финансовый 2 2 2 2 3 3 4" xfId="6668"/>
    <cellStyle name="Финансовый 2 2 2 2 3 3 4 2" xfId="16985"/>
    <cellStyle name="Финансовый 2 2 2 2 3 3 5" xfId="16986"/>
    <cellStyle name="Финансовый 2 2 2 2 3 4" xfId="1148"/>
    <cellStyle name="Финансовый 2 2 2 2 3 4 2" xfId="2267"/>
    <cellStyle name="Финансовый 2 2 2 2 3 4 2 2" xfId="4805"/>
    <cellStyle name="Финансовый 2 2 2 2 3 4 2 2 2" xfId="9923"/>
    <cellStyle name="Финансовый 2 2 2 2 3 4 2 2 2 2" xfId="16987"/>
    <cellStyle name="Финансовый 2 2 2 2 3 4 2 2 3" xfId="16988"/>
    <cellStyle name="Финансовый 2 2 2 2 3 4 2 3" xfId="7867"/>
    <cellStyle name="Финансовый 2 2 2 2 3 4 2 3 2" xfId="16989"/>
    <cellStyle name="Финансовый 2 2 2 2 3 4 2 4" xfId="16990"/>
    <cellStyle name="Финансовый 2 2 2 2 3 4 3" xfId="3777"/>
    <cellStyle name="Финансовый 2 2 2 2 3 4 3 2" xfId="8895"/>
    <cellStyle name="Финансовый 2 2 2 2 3 4 3 2 2" xfId="16991"/>
    <cellStyle name="Финансовый 2 2 2 2 3 4 3 3" xfId="16992"/>
    <cellStyle name="Финансовый 2 2 2 2 3 4 4" xfId="6839"/>
    <cellStyle name="Финансовый 2 2 2 2 3 4 4 2" xfId="16993"/>
    <cellStyle name="Финансовый 2 2 2 2 3 4 5" xfId="16994"/>
    <cellStyle name="Финансовый 2 2 2 2 3 5" xfId="1332"/>
    <cellStyle name="Финансовый 2 2 2 2 3 5 2" xfId="2438"/>
    <cellStyle name="Финансовый 2 2 2 2 3 5 2 2" xfId="4976"/>
    <cellStyle name="Финансовый 2 2 2 2 3 5 2 2 2" xfId="10094"/>
    <cellStyle name="Финансовый 2 2 2 2 3 5 2 2 2 2" xfId="16995"/>
    <cellStyle name="Финансовый 2 2 2 2 3 5 2 2 3" xfId="16996"/>
    <cellStyle name="Финансовый 2 2 2 2 3 5 2 3" xfId="8038"/>
    <cellStyle name="Финансовый 2 2 2 2 3 5 2 3 2" xfId="16997"/>
    <cellStyle name="Финансовый 2 2 2 2 3 5 2 4" xfId="16998"/>
    <cellStyle name="Финансовый 2 2 2 2 3 5 3" xfId="3948"/>
    <cellStyle name="Финансовый 2 2 2 2 3 5 3 2" xfId="9066"/>
    <cellStyle name="Финансовый 2 2 2 2 3 5 3 2 2" xfId="16999"/>
    <cellStyle name="Финансовый 2 2 2 2 3 5 3 3" xfId="17000"/>
    <cellStyle name="Финансовый 2 2 2 2 3 5 4" xfId="7010"/>
    <cellStyle name="Финансовый 2 2 2 2 3 5 4 2" xfId="17001"/>
    <cellStyle name="Финансовый 2 2 2 2 3 5 5" xfId="17002"/>
    <cellStyle name="Финансовый 2 2 2 2 3 6" xfId="1503"/>
    <cellStyle name="Финансовый 2 2 2 2 3 6 2" xfId="2609"/>
    <cellStyle name="Финансовый 2 2 2 2 3 6 2 2" xfId="5147"/>
    <cellStyle name="Финансовый 2 2 2 2 3 6 2 2 2" xfId="10265"/>
    <cellStyle name="Финансовый 2 2 2 2 3 6 2 2 2 2" xfId="17003"/>
    <cellStyle name="Финансовый 2 2 2 2 3 6 2 2 3" xfId="17004"/>
    <cellStyle name="Финансовый 2 2 2 2 3 6 2 3" xfId="8209"/>
    <cellStyle name="Финансовый 2 2 2 2 3 6 2 3 2" xfId="17005"/>
    <cellStyle name="Финансовый 2 2 2 2 3 6 2 4" xfId="17006"/>
    <cellStyle name="Финансовый 2 2 2 2 3 6 3" xfId="4119"/>
    <cellStyle name="Финансовый 2 2 2 2 3 6 3 2" xfId="9237"/>
    <cellStyle name="Финансовый 2 2 2 2 3 6 3 2 2" xfId="17007"/>
    <cellStyle name="Финансовый 2 2 2 2 3 6 3 3" xfId="17008"/>
    <cellStyle name="Финансовый 2 2 2 2 3 6 4" xfId="7181"/>
    <cellStyle name="Финансовый 2 2 2 2 3 6 4 2" xfId="17009"/>
    <cellStyle name="Финансовый 2 2 2 2 3 6 5" xfId="17010"/>
    <cellStyle name="Финансовый 2 2 2 2 3 7" xfId="1674"/>
    <cellStyle name="Финансовый 2 2 2 2 3 7 2" xfId="2780"/>
    <cellStyle name="Финансовый 2 2 2 2 3 7 2 2" xfId="5318"/>
    <cellStyle name="Финансовый 2 2 2 2 3 7 2 2 2" xfId="10436"/>
    <cellStyle name="Финансовый 2 2 2 2 3 7 2 2 2 2" xfId="17011"/>
    <cellStyle name="Финансовый 2 2 2 2 3 7 2 2 3" xfId="17012"/>
    <cellStyle name="Финансовый 2 2 2 2 3 7 2 3" xfId="8380"/>
    <cellStyle name="Финансовый 2 2 2 2 3 7 2 3 2" xfId="17013"/>
    <cellStyle name="Финансовый 2 2 2 2 3 7 2 4" xfId="17014"/>
    <cellStyle name="Финансовый 2 2 2 2 3 7 3" xfId="4290"/>
    <cellStyle name="Финансовый 2 2 2 2 3 7 3 2" xfId="9408"/>
    <cellStyle name="Финансовый 2 2 2 2 3 7 3 2 2" xfId="17015"/>
    <cellStyle name="Финансовый 2 2 2 2 3 7 3 3" xfId="17016"/>
    <cellStyle name="Финансовый 2 2 2 2 3 7 4" xfId="7352"/>
    <cellStyle name="Финансовый 2 2 2 2 3 7 4 2" xfId="17017"/>
    <cellStyle name="Финансовый 2 2 2 2 3 7 5" xfId="17018"/>
    <cellStyle name="Финансовый 2 2 2 2 3 8" xfId="1740"/>
    <cellStyle name="Финансовый 2 2 2 2 3 9" xfId="3107"/>
    <cellStyle name="Финансовый 2 2 2 2 4" xfId="475"/>
    <cellStyle name="Финансовый 2 2 2 2 4 2" xfId="3108"/>
    <cellStyle name="Финансовый 2 2 2 2 4 3" xfId="2874"/>
    <cellStyle name="Финансовый 2 2 2 2 5" xfId="17019"/>
    <cellStyle name="Финансовый 2 2 2 3" xfId="476"/>
    <cellStyle name="Финансовый 2 2 2 3 2" xfId="477"/>
    <cellStyle name="Финансовый 2 2 2 3 2 2" xfId="802"/>
    <cellStyle name="Финансовый 2 2 2 3 2 2 2" xfId="1924"/>
    <cellStyle name="Финансовый 2 2 2 3 2 2 2 2" xfId="4462"/>
    <cellStyle name="Финансовый 2 2 2 3 2 2 2 2 2" xfId="9580"/>
    <cellStyle name="Финансовый 2 2 2 3 2 2 2 2 2 2" xfId="17020"/>
    <cellStyle name="Финансовый 2 2 2 3 2 2 2 2 3" xfId="17021"/>
    <cellStyle name="Финансовый 2 2 2 3 2 2 2 3" xfId="7524"/>
    <cellStyle name="Финансовый 2 2 2 3 2 2 2 3 2" xfId="17022"/>
    <cellStyle name="Финансовый 2 2 2 3 2 2 2 4" xfId="17023"/>
    <cellStyle name="Финансовый 2 2 2 3 2 2 3" xfId="3434"/>
    <cellStyle name="Финансовый 2 2 2 3 2 2 3 2" xfId="8552"/>
    <cellStyle name="Финансовый 2 2 2 3 2 2 3 2 2" xfId="17024"/>
    <cellStyle name="Финансовый 2 2 2 3 2 2 3 3" xfId="17025"/>
    <cellStyle name="Финансовый 2 2 2 3 2 2 4" xfId="6496"/>
    <cellStyle name="Финансовый 2 2 2 3 2 2 4 2" xfId="17026"/>
    <cellStyle name="Финансовый 2 2 2 3 2 2 5" xfId="17027"/>
    <cellStyle name="Финансовый 2 2 2 3 2 2 6" xfId="17028"/>
    <cellStyle name="Финансовый 2 2 2 3 2 3" xfId="978"/>
    <cellStyle name="Финансовый 2 2 2 3 2 3 2" xfId="2097"/>
    <cellStyle name="Финансовый 2 2 2 3 2 3 2 2" xfId="4635"/>
    <cellStyle name="Финансовый 2 2 2 3 2 3 2 2 2" xfId="9753"/>
    <cellStyle name="Финансовый 2 2 2 3 2 3 2 2 2 2" xfId="17029"/>
    <cellStyle name="Финансовый 2 2 2 3 2 3 2 2 3" xfId="17030"/>
    <cellStyle name="Финансовый 2 2 2 3 2 3 2 3" xfId="7697"/>
    <cellStyle name="Финансовый 2 2 2 3 2 3 2 3 2" xfId="17031"/>
    <cellStyle name="Финансовый 2 2 2 3 2 3 2 4" xfId="17032"/>
    <cellStyle name="Финансовый 2 2 2 3 2 3 3" xfId="3607"/>
    <cellStyle name="Финансовый 2 2 2 3 2 3 3 2" xfId="8725"/>
    <cellStyle name="Финансовый 2 2 2 3 2 3 3 2 2" xfId="17033"/>
    <cellStyle name="Финансовый 2 2 2 3 2 3 3 3" xfId="17034"/>
    <cellStyle name="Финансовый 2 2 2 3 2 3 4" xfId="6669"/>
    <cellStyle name="Финансовый 2 2 2 3 2 3 4 2" xfId="17035"/>
    <cellStyle name="Финансовый 2 2 2 3 2 3 5" xfId="17036"/>
    <cellStyle name="Финансовый 2 2 2 3 2 4" xfId="1149"/>
    <cellStyle name="Финансовый 2 2 2 3 2 4 2" xfId="2268"/>
    <cellStyle name="Финансовый 2 2 2 3 2 4 2 2" xfId="4806"/>
    <cellStyle name="Финансовый 2 2 2 3 2 4 2 2 2" xfId="9924"/>
    <cellStyle name="Финансовый 2 2 2 3 2 4 2 2 2 2" xfId="17037"/>
    <cellStyle name="Финансовый 2 2 2 3 2 4 2 2 3" xfId="17038"/>
    <cellStyle name="Финансовый 2 2 2 3 2 4 2 3" xfId="7868"/>
    <cellStyle name="Финансовый 2 2 2 3 2 4 2 3 2" xfId="17039"/>
    <cellStyle name="Финансовый 2 2 2 3 2 4 2 4" xfId="17040"/>
    <cellStyle name="Финансовый 2 2 2 3 2 4 3" xfId="3778"/>
    <cellStyle name="Финансовый 2 2 2 3 2 4 3 2" xfId="8896"/>
    <cellStyle name="Финансовый 2 2 2 3 2 4 3 2 2" xfId="17041"/>
    <cellStyle name="Финансовый 2 2 2 3 2 4 3 3" xfId="17042"/>
    <cellStyle name="Финансовый 2 2 2 3 2 4 4" xfId="6840"/>
    <cellStyle name="Финансовый 2 2 2 3 2 4 4 2" xfId="17043"/>
    <cellStyle name="Финансовый 2 2 2 3 2 4 5" xfId="17044"/>
    <cellStyle name="Финансовый 2 2 2 3 2 5" xfId="1333"/>
    <cellStyle name="Финансовый 2 2 2 3 2 5 2" xfId="2439"/>
    <cellStyle name="Финансовый 2 2 2 3 2 5 2 2" xfId="4977"/>
    <cellStyle name="Финансовый 2 2 2 3 2 5 2 2 2" xfId="10095"/>
    <cellStyle name="Финансовый 2 2 2 3 2 5 2 2 2 2" xfId="17045"/>
    <cellStyle name="Финансовый 2 2 2 3 2 5 2 2 3" xfId="17046"/>
    <cellStyle name="Финансовый 2 2 2 3 2 5 2 3" xfId="8039"/>
    <cellStyle name="Финансовый 2 2 2 3 2 5 2 3 2" xfId="17047"/>
    <cellStyle name="Финансовый 2 2 2 3 2 5 2 4" xfId="17048"/>
    <cellStyle name="Финансовый 2 2 2 3 2 5 3" xfId="3949"/>
    <cellStyle name="Финансовый 2 2 2 3 2 5 3 2" xfId="9067"/>
    <cellStyle name="Финансовый 2 2 2 3 2 5 3 2 2" xfId="17049"/>
    <cellStyle name="Финансовый 2 2 2 3 2 5 3 3" xfId="17050"/>
    <cellStyle name="Финансовый 2 2 2 3 2 5 4" xfId="7011"/>
    <cellStyle name="Финансовый 2 2 2 3 2 5 4 2" xfId="17051"/>
    <cellStyle name="Финансовый 2 2 2 3 2 5 5" xfId="17052"/>
    <cellStyle name="Финансовый 2 2 2 3 2 6" xfId="1504"/>
    <cellStyle name="Финансовый 2 2 2 3 2 6 2" xfId="2610"/>
    <cellStyle name="Финансовый 2 2 2 3 2 6 2 2" xfId="5148"/>
    <cellStyle name="Финансовый 2 2 2 3 2 6 2 2 2" xfId="10266"/>
    <cellStyle name="Финансовый 2 2 2 3 2 6 2 2 2 2" xfId="17053"/>
    <cellStyle name="Финансовый 2 2 2 3 2 6 2 2 3" xfId="17054"/>
    <cellStyle name="Финансовый 2 2 2 3 2 6 2 3" xfId="8210"/>
    <cellStyle name="Финансовый 2 2 2 3 2 6 2 3 2" xfId="17055"/>
    <cellStyle name="Финансовый 2 2 2 3 2 6 2 4" xfId="17056"/>
    <cellStyle name="Финансовый 2 2 2 3 2 6 3" xfId="4120"/>
    <cellStyle name="Финансовый 2 2 2 3 2 6 3 2" xfId="9238"/>
    <cellStyle name="Финансовый 2 2 2 3 2 6 3 2 2" xfId="17057"/>
    <cellStyle name="Финансовый 2 2 2 3 2 6 3 3" xfId="17058"/>
    <cellStyle name="Финансовый 2 2 2 3 2 6 4" xfId="7182"/>
    <cellStyle name="Финансовый 2 2 2 3 2 6 4 2" xfId="17059"/>
    <cellStyle name="Финансовый 2 2 2 3 2 6 5" xfId="17060"/>
    <cellStyle name="Финансовый 2 2 2 3 2 7" xfId="1675"/>
    <cellStyle name="Финансовый 2 2 2 3 2 7 2" xfId="2781"/>
    <cellStyle name="Финансовый 2 2 2 3 2 7 2 2" xfId="5319"/>
    <cellStyle name="Финансовый 2 2 2 3 2 7 2 2 2" xfId="10437"/>
    <cellStyle name="Финансовый 2 2 2 3 2 7 2 2 2 2" xfId="17061"/>
    <cellStyle name="Финансовый 2 2 2 3 2 7 2 2 3" xfId="17062"/>
    <cellStyle name="Финансовый 2 2 2 3 2 7 2 3" xfId="8381"/>
    <cellStyle name="Финансовый 2 2 2 3 2 7 2 3 2" xfId="17063"/>
    <cellStyle name="Финансовый 2 2 2 3 2 7 2 4" xfId="17064"/>
    <cellStyle name="Финансовый 2 2 2 3 2 7 3" xfId="4291"/>
    <cellStyle name="Финансовый 2 2 2 3 2 7 3 2" xfId="9409"/>
    <cellStyle name="Финансовый 2 2 2 3 2 7 3 2 2" xfId="17065"/>
    <cellStyle name="Финансовый 2 2 2 3 2 7 3 3" xfId="17066"/>
    <cellStyle name="Финансовый 2 2 2 3 2 7 4" xfId="7353"/>
    <cellStyle name="Финансовый 2 2 2 3 2 7 4 2" xfId="17067"/>
    <cellStyle name="Финансовый 2 2 2 3 2 7 5" xfId="17068"/>
    <cellStyle name="Финансовый 2 2 2 3 2 8" xfId="1741"/>
    <cellStyle name="Финансовый 2 2 2 3 2 9" xfId="3109"/>
    <cellStyle name="Финансовый 2 2 2 3 3" xfId="478"/>
    <cellStyle name="Финансовый 2 2 2 3 3 2" xfId="3110"/>
    <cellStyle name="Финансовый 2 2 2 3 3 3" xfId="2876"/>
    <cellStyle name="Финансовый 2 2 2 3 4" xfId="17069"/>
    <cellStyle name="Финансовый 2 2 2 4" xfId="479"/>
    <cellStyle name="Финансовый 2 2 2 4 2" xfId="803"/>
    <cellStyle name="Финансовый 2 2 2 4 2 2" xfId="1925"/>
    <cellStyle name="Финансовый 2 2 2 4 2 2 2" xfId="4463"/>
    <cellStyle name="Финансовый 2 2 2 4 2 2 2 2" xfId="9581"/>
    <cellStyle name="Финансовый 2 2 2 4 2 2 2 2 2" xfId="17070"/>
    <cellStyle name="Финансовый 2 2 2 4 2 2 2 3" xfId="17071"/>
    <cellStyle name="Финансовый 2 2 2 4 2 2 3" xfId="7525"/>
    <cellStyle name="Финансовый 2 2 2 4 2 2 3 2" xfId="17072"/>
    <cellStyle name="Финансовый 2 2 2 4 2 2 4" xfId="17073"/>
    <cellStyle name="Финансовый 2 2 2 4 2 3" xfId="3435"/>
    <cellStyle name="Финансовый 2 2 2 4 2 3 2" xfId="8553"/>
    <cellStyle name="Финансовый 2 2 2 4 2 3 2 2" xfId="17074"/>
    <cellStyle name="Финансовый 2 2 2 4 2 3 3" xfId="17075"/>
    <cellStyle name="Финансовый 2 2 2 4 2 4" xfId="6497"/>
    <cellStyle name="Финансовый 2 2 2 4 2 4 2" xfId="17076"/>
    <cellStyle name="Финансовый 2 2 2 4 2 5" xfId="17077"/>
    <cellStyle name="Финансовый 2 2 2 4 2 6" xfId="17078"/>
    <cellStyle name="Финансовый 2 2 2 4 3" xfId="979"/>
    <cellStyle name="Финансовый 2 2 2 4 3 2" xfId="2098"/>
    <cellStyle name="Финансовый 2 2 2 4 3 2 2" xfId="4636"/>
    <cellStyle name="Финансовый 2 2 2 4 3 2 2 2" xfId="9754"/>
    <cellStyle name="Финансовый 2 2 2 4 3 2 2 2 2" xfId="17079"/>
    <cellStyle name="Финансовый 2 2 2 4 3 2 2 3" xfId="17080"/>
    <cellStyle name="Финансовый 2 2 2 4 3 2 3" xfId="7698"/>
    <cellStyle name="Финансовый 2 2 2 4 3 2 3 2" xfId="17081"/>
    <cellStyle name="Финансовый 2 2 2 4 3 2 4" xfId="17082"/>
    <cellStyle name="Финансовый 2 2 2 4 3 3" xfId="3608"/>
    <cellStyle name="Финансовый 2 2 2 4 3 3 2" xfId="8726"/>
    <cellStyle name="Финансовый 2 2 2 4 3 3 2 2" xfId="17083"/>
    <cellStyle name="Финансовый 2 2 2 4 3 3 3" xfId="17084"/>
    <cellStyle name="Финансовый 2 2 2 4 3 4" xfId="6670"/>
    <cellStyle name="Финансовый 2 2 2 4 3 4 2" xfId="17085"/>
    <cellStyle name="Финансовый 2 2 2 4 3 5" xfId="17086"/>
    <cellStyle name="Финансовый 2 2 2 4 4" xfId="1150"/>
    <cellStyle name="Финансовый 2 2 2 4 4 2" xfId="2269"/>
    <cellStyle name="Финансовый 2 2 2 4 4 2 2" xfId="4807"/>
    <cellStyle name="Финансовый 2 2 2 4 4 2 2 2" xfId="9925"/>
    <cellStyle name="Финансовый 2 2 2 4 4 2 2 2 2" xfId="17087"/>
    <cellStyle name="Финансовый 2 2 2 4 4 2 2 3" xfId="17088"/>
    <cellStyle name="Финансовый 2 2 2 4 4 2 3" xfId="7869"/>
    <cellStyle name="Финансовый 2 2 2 4 4 2 3 2" xfId="17089"/>
    <cellStyle name="Финансовый 2 2 2 4 4 2 4" xfId="17090"/>
    <cellStyle name="Финансовый 2 2 2 4 4 3" xfId="3779"/>
    <cellStyle name="Финансовый 2 2 2 4 4 3 2" xfId="8897"/>
    <cellStyle name="Финансовый 2 2 2 4 4 3 2 2" xfId="17091"/>
    <cellStyle name="Финансовый 2 2 2 4 4 3 3" xfId="17092"/>
    <cellStyle name="Финансовый 2 2 2 4 4 4" xfId="6841"/>
    <cellStyle name="Финансовый 2 2 2 4 4 4 2" xfId="17093"/>
    <cellStyle name="Финансовый 2 2 2 4 4 5" xfId="17094"/>
    <cellStyle name="Финансовый 2 2 2 4 5" xfId="1334"/>
    <cellStyle name="Финансовый 2 2 2 4 5 2" xfId="2440"/>
    <cellStyle name="Финансовый 2 2 2 4 5 2 2" xfId="4978"/>
    <cellStyle name="Финансовый 2 2 2 4 5 2 2 2" xfId="10096"/>
    <cellStyle name="Финансовый 2 2 2 4 5 2 2 2 2" xfId="17095"/>
    <cellStyle name="Финансовый 2 2 2 4 5 2 2 3" xfId="17096"/>
    <cellStyle name="Финансовый 2 2 2 4 5 2 3" xfId="8040"/>
    <cellStyle name="Финансовый 2 2 2 4 5 2 3 2" xfId="17097"/>
    <cellStyle name="Финансовый 2 2 2 4 5 2 4" xfId="17098"/>
    <cellStyle name="Финансовый 2 2 2 4 5 3" xfId="3950"/>
    <cellStyle name="Финансовый 2 2 2 4 5 3 2" xfId="9068"/>
    <cellStyle name="Финансовый 2 2 2 4 5 3 2 2" xfId="17099"/>
    <cellStyle name="Финансовый 2 2 2 4 5 3 3" xfId="17100"/>
    <cellStyle name="Финансовый 2 2 2 4 5 4" xfId="7012"/>
    <cellStyle name="Финансовый 2 2 2 4 5 4 2" xfId="17101"/>
    <cellStyle name="Финансовый 2 2 2 4 5 5" xfId="17102"/>
    <cellStyle name="Финансовый 2 2 2 4 6" xfId="1505"/>
    <cellStyle name="Финансовый 2 2 2 4 6 2" xfId="2611"/>
    <cellStyle name="Финансовый 2 2 2 4 6 2 2" xfId="5149"/>
    <cellStyle name="Финансовый 2 2 2 4 6 2 2 2" xfId="10267"/>
    <cellStyle name="Финансовый 2 2 2 4 6 2 2 2 2" xfId="17103"/>
    <cellStyle name="Финансовый 2 2 2 4 6 2 2 3" xfId="17104"/>
    <cellStyle name="Финансовый 2 2 2 4 6 2 3" xfId="8211"/>
    <cellStyle name="Финансовый 2 2 2 4 6 2 3 2" xfId="17105"/>
    <cellStyle name="Финансовый 2 2 2 4 6 2 4" xfId="17106"/>
    <cellStyle name="Финансовый 2 2 2 4 6 3" xfId="4121"/>
    <cellStyle name="Финансовый 2 2 2 4 6 3 2" xfId="9239"/>
    <cellStyle name="Финансовый 2 2 2 4 6 3 2 2" xfId="17107"/>
    <cellStyle name="Финансовый 2 2 2 4 6 3 3" xfId="17108"/>
    <cellStyle name="Финансовый 2 2 2 4 6 4" xfId="7183"/>
    <cellStyle name="Финансовый 2 2 2 4 6 4 2" xfId="17109"/>
    <cellStyle name="Финансовый 2 2 2 4 6 5" xfId="17110"/>
    <cellStyle name="Финансовый 2 2 2 4 7" xfId="1676"/>
    <cellStyle name="Финансовый 2 2 2 4 7 2" xfId="2782"/>
    <cellStyle name="Финансовый 2 2 2 4 7 2 2" xfId="5320"/>
    <cellStyle name="Финансовый 2 2 2 4 7 2 2 2" xfId="10438"/>
    <cellStyle name="Финансовый 2 2 2 4 7 2 2 2 2" xfId="17111"/>
    <cellStyle name="Финансовый 2 2 2 4 7 2 2 3" xfId="17112"/>
    <cellStyle name="Финансовый 2 2 2 4 7 2 3" xfId="8382"/>
    <cellStyle name="Финансовый 2 2 2 4 7 2 3 2" xfId="17113"/>
    <cellStyle name="Финансовый 2 2 2 4 7 2 4" xfId="17114"/>
    <cellStyle name="Финансовый 2 2 2 4 7 3" xfId="4292"/>
    <cellStyle name="Финансовый 2 2 2 4 7 3 2" xfId="9410"/>
    <cellStyle name="Финансовый 2 2 2 4 7 3 2 2" xfId="17115"/>
    <cellStyle name="Финансовый 2 2 2 4 7 3 3" xfId="17116"/>
    <cellStyle name="Финансовый 2 2 2 4 7 4" xfId="7354"/>
    <cellStyle name="Финансовый 2 2 2 4 7 4 2" xfId="17117"/>
    <cellStyle name="Финансовый 2 2 2 4 7 5" xfId="17118"/>
    <cellStyle name="Финансовый 2 2 2 4 8" xfId="1742"/>
    <cellStyle name="Финансовый 2 2 2 4 9" xfId="3111"/>
    <cellStyle name="Финансовый 2 2 2 5" xfId="480"/>
    <cellStyle name="Финансовый 2 2 2 5 2" xfId="3112"/>
    <cellStyle name="Финансовый 2 2 2 5 3" xfId="2873"/>
    <cellStyle name="Финансовый 2 2 2 6" xfId="17119"/>
    <cellStyle name="Финансовый 2 2 3" xfId="481"/>
    <cellStyle name="Финансовый 2 2 3 2" xfId="482"/>
    <cellStyle name="Финансовый 2 2 3 2 2" xfId="804"/>
    <cellStyle name="Финансовый 2 2 3 2 2 2" xfId="1926"/>
    <cellStyle name="Финансовый 2 2 3 2 2 2 2" xfId="4464"/>
    <cellStyle name="Финансовый 2 2 3 2 2 2 2 2" xfId="9582"/>
    <cellStyle name="Финансовый 2 2 3 2 2 2 2 2 2" xfId="17120"/>
    <cellStyle name="Финансовый 2 2 3 2 2 2 2 3" xfId="17121"/>
    <cellStyle name="Финансовый 2 2 3 2 2 2 3" xfId="7526"/>
    <cellStyle name="Финансовый 2 2 3 2 2 2 3 2" xfId="17122"/>
    <cellStyle name="Финансовый 2 2 3 2 2 2 4" xfId="17123"/>
    <cellStyle name="Финансовый 2 2 3 2 2 3" xfId="3436"/>
    <cellStyle name="Финансовый 2 2 3 2 2 3 2" xfId="8554"/>
    <cellStyle name="Финансовый 2 2 3 2 2 3 2 2" xfId="17124"/>
    <cellStyle name="Финансовый 2 2 3 2 2 3 3" xfId="17125"/>
    <cellStyle name="Финансовый 2 2 3 2 2 4" xfId="6498"/>
    <cellStyle name="Финансовый 2 2 3 2 2 4 2" xfId="17126"/>
    <cellStyle name="Финансовый 2 2 3 2 2 5" xfId="17127"/>
    <cellStyle name="Финансовый 2 2 3 2 2 6" xfId="17128"/>
    <cellStyle name="Финансовый 2 2 3 2 3" xfId="980"/>
    <cellStyle name="Финансовый 2 2 3 2 3 2" xfId="2099"/>
    <cellStyle name="Финансовый 2 2 3 2 3 2 2" xfId="4637"/>
    <cellStyle name="Финансовый 2 2 3 2 3 2 2 2" xfId="9755"/>
    <cellStyle name="Финансовый 2 2 3 2 3 2 2 2 2" xfId="17129"/>
    <cellStyle name="Финансовый 2 2 3 2 3 2 2 3" xfId="17130"/>
    <cellStyle name="Финансовый 2 2 3 2 3 2 3" xfId="7699"/>
    <cellStyle name="Финансовый 2 2 3 2 3 2 3 2" xfId="17131"/>
    <cellStyle name="Финансовый 2 2 3 2 3 2 4" xfId="17132"/>
    <cellStyle name="Финансовый 2 2 3 2 3 3" xfId="3609"/>
    <cellStyle name="Финансовый 2 2 3 2 3 3 2" xfId="8727"/>
    <cellStyle name="Финансовый 2 2 3 2 3 3 2 2" xfId="17133"/>
    <cellStyle name="Финансовый 2 2 3 2 3 3 3" xfId="17134"/>
    <cellStyle name="Финансовый 2 2 3 2 3 4" xfId="6671"/>
    <cellStyle name="Финансовый 2 2 3 2 3 4 2" xfId="17135"/>
    <cellStyle name="Финансовый 2 2 3 2 3 5" xfId="17136"/>
    <cellStyle name="Финансовый 2 2 3 2 4" xfId="1151"/>
    <cellStyle name="Финансовый 2 2 3 2 4 2" xfId="2270"/>
    <cellStyle name="Финансовый 2 2 3 2 4 2 2" xfId="4808"/>
    <cellStyle name="Финансовый 2 2 3 2 4 2 2 2" xfId="9926"/>
    <cellStyle name="Финансовый 2 2 3 2 4 2 2 2 2" xfId="17137"/>
    <cellStyle name="Финансовый 2 2 3 2 4 2 2 3" xfId="17138"/>
    <cellStyle name="Финансовый 2 2 3 2 4 2 3" xfId="7870"/>
    <cellStyle name="Финансовый 2 2 3 2 4 2 3 2" xfId="17139"/>
    <cellStyle name="Финансовый 2 2 3 2 4 2 4" xfId="17140"/>
    <cellStyle name="Финансовый 2 2 3 2 4 3" xfId="3780"/>
    <cellStyle name="Финансовый 2 2 3 2 4 3 2" xfId="8898"/>
    <cellStyle name="Финансовый 2 2 3 2 4 3 2 2" xfId="17141"/>
    <cellStyle name="Финансовый 2 2 3 2 4 3 3" xfId="17142"/>
    <cellStyle name="Финансовый 2 2 3 2 4 4" xfId="6842"/>
    <cellStyle name="Финансовый 2 2 3 2 4 4 2" xfId="17143"/>
    <cellStyle name="Финансовый 2 2 3 2 4 5" xfId="17144"/>
    <cellStyle name="Финансовый 2 2 3 2 5" xfId="1335"/>
    <cellStyle name="Финансовый 2 2 3 2 5 2" xfId="2441"/>
    <cellStyle name="Финансовый 2 2 3 2 5 2 2" xfId="4979"/>
    <cellStyle name="Финансовый 2 2 3 2 5 2 2 2" xfId="10097"/>
    <cellStyle name="Финансовый 2 2 3 2 5 2 2 2 2" xfId="17145"/>
    <cellStyle name="Финансовый 2 2 3 2 5 2 2 3" xfId="17146"/>
    <cellStyle name="Финансовый 2 2 3 2 5 2 3" xfId="8041"/>
    <cellStyle name="Финансовый 2 2 3 2 5 2 3 2" xfId="17147"/>
    <cellStyle name="Финансовый 2 2 3 2 5 2 4" xfId="17148"/>
    <cellStyle name="Финансовый 2 2 3 2 5 3" xfId="3951"/>
    <cellStyle name="Финансовый 2 2 3 2 5 3 2" xfId="9069"/>
    <cellStyle name="Финансовый 2 2 3 2 5 3 2 2" xfId="17149"/>
    <cellStyle name="Финансовый 2 2 3 2 5 3 3" xfId="17150"/>
    <cellStyle name="Финансовый 2 2 3 2 5 4" xfId="7013"/>
    <cellStyle name="Финансовый 2 2 3 2 5 4 2" xfId="17151"/>
    <cellStyle name="Финансовый 2 2 3 2 5 5" xfId="17152"/>
    <cellStyle name="Финансовый 2 2 3 2 6" xfId="1506"/>
    <cellStyle name="Финансовый 2 2 3 2 6 2" xfId="2612"/>
    <cellStyle name="Финансовый 2 2 3 2 6 2 2" xfId="5150"/>
    <cellStyle name="Финансовый 2 2 3 2 6 2 2 2" xfId="10268"/>
    <cellStyle name="Финансовый 2 2 3 2 6 2 2 2 2" xfId="17153"/>
    <cellStyle name="Финансовый 2 2 3 2 6 2 2 3" xfId="17154"/>
    <cellStyle name="Финансовый 2 2 3 2 6 2 3" xfId="8212"/>
    <cellStyle name="Финансовый 2 2 3 2 6 2 3 2" xfId="17155"/>
    <cellStyle name="Финансовый 2 2 3 2 6 2 4" xfId="17156"/>
    <cellStyle name="Финансовый 2 2 3 2 6 3" xfId="4122"/>
    <cellStyle name="Финансовый 2 2 3 2 6 3 2" xfId="9240"/>
    <cellStyle name="Финансовый 2 2 3 2 6 3 2 2" xfId="17157"/>
    <cellStyle name="Финансовый 2 2 3 2 6 3 3" xfId="17158"/>
    <cellStyle name="Финансовый 2 2 3 2 6 4" xfId="7184"/>
    <cellStyle name="Финансовый 2 2 3 2 6 4 2" xfId="17159"/>
    <cellStyle name="Финансовый 2 2 3 2 6 5" xfId="17160"/>
    <cellStyle name="Финансовый 2 2 3 2 7" xfId="1677"/>
    <cellStyle name="Финансовый 2 2 3 2 7 2" xfId="2783"/>
    <cellStyle name="Финансовый 2 2 3 2 7 2 2" xfId="5321"/>
    <cellStyle name="Финансовый 2 2 3 2 7 2 2 2" xfId="10439"/>
    <cellStyle name="Финансовый 2 2 3 2 7 2 2 2 2" xfId="17161"/>
    <cellStyle name="Финансовый 2 2 3 2 7 2 2 3" xfId="17162"/>
    <cellStyle name="Финансовый 2 2 3 2 7 2 3" xfId="8383"/>
    <cellStyle name="Финансовый 2 2 3 2 7 2 3 2" xfId="17163"/>
    <cellStyle name="Финансовый 2 2 3 2 7 2 4" xfId="17164"/>
    <cellStyle name="Финансовый 2 2 3 2 7 3" xfId="4293"/>
    <cellStyle name="Финансовый 2 2 3 2 7 3 2" xfId="9411"/>
    <cellStyle name="Финансовый 2 2 3 2 7 3 2 2" xfId="17165"/>
    <cellStyle name="Финансовый 2 2 3 2 7 3 3" xfId="17166"/>
    <cellStyle name="Финансовый 2 2 3 2 7 4" xfId="7355"/>
    <cellStyle name="Финансовый 2 2 3 2 7 4 2" xfId="17167"/>
    <cellStyle name="Финансовый 2 2 3 2 7 5" xfId="17168"/>
    <cellStyle name="Финансовый 2 2 3 2 8" xfId="1743"/>
    <cellStyle name="Финансовый 2 2 3 2 9" xfId="3113"/>
    <cellStyle name="Финансовый 2 2 3 3" xfId="483"/>
    <cellStyle name="Финансовый 2 2 3 3 2" xfId="3114"/>
    <cellStyle name="Финансовый 2 2 3 3 3" xfId="2877"/>
    <cellStyle name="Финансовый 2 2 3 4" xfId="17169"/>
    <cellStyle name="Финансовый 2 2 4" xfId="484"/>
    <cellStyle name="Финансовый 2 2 4 2" xfId="485"/>
    <cellStyle name="Финансовый 2 2 4 2 2" xfId="805"/>
    <cellStyle name="Финансовый 2 2 4 2 2 2" xfId="1927"/>
    <cellStyle name="Финансовый 2 2 4 2 2 2 2" xfId="4465"/>
    <cellStyle name="Финансовый 2 2 4 2 2 2 2 2" xfId="9583"/>
    <cellStyle name="Финансовый 2 2 4 2 2 2 2 2 2" xfId="17170"/>
    <cellStyle name="Финансовый 2 2 4 2 2 2 2 3" xfId="17171"/>
    <cellStyle name="Финансовый 2 2 4 2 2 2 3" xfId="7527"/>
    <cellStyle name="Финансовый 2 2 4 2 2 2 3 2" xfId="17172"/>
    <cellStyle name="Финансовый 2 2 4 2 2 2 4" xfId="17173"/>
    <cellStyle name="Финансовый 2 2 4 2 2 3" xfId="3437"/>
    <cellStyle name="Финансовый 2 2 4 2 2 3 2" xfId="8555"/>
    <cellStyle name="Финансовый 2 2 4 2 2 3 2 2" xfId="17174"/>
    <cellStyle name="Финансовый 2 2 4 2 2 3 3" xfId="17175"/>
    <cellStyle name="Финансовый 2 2 4 2 2 4" xfId="6499"/>
    <cellStyle name="Финансовый 2 2 4 2 2 4 2" xfId="17176"/>
    <cellStyle name="Финансовый 2 2 4 2 2 5" xfId="17177"/>
    <cellStyle name="Финансовый 2 2 4 2 2 6" xfId="17178"/>
    <cellStyle name="Финансовый 2 2 4 2 3" xfId="981"/>
    <cellStyle name="Финансовый 2 2 4 2 3 2" xfId="2100"/>
    <cellStyle name="Финансовый 2 2 4 2 3 2 2" xfId="4638"/>
    <cellStyle name="Финансовый 2 2 4 2 3 2 2 2" xfId="9756"/>
    <cellStyle name="Финансовый 2 2 4 2 3 2 2 2 2" xfId="17179"/>
    <cellStyle name="Финансовый 2 2 4 2 3 2 2 3" xfId="17180"/>
    <cellStyle name="Финансовый 2 2 4 2 3 2 3" xfId="7700"/>
    <cellStyle name="Финансовый 2 2 4 2 3 2 3 2" xfId="17181"/>
    <cellStyle name="Финансовый 2 2 4 2 3 2 4" xfId="17182"/>
    <cellStyle name="Финансовый 2 2 4 2 3 3" xfId="3610"/>
    <cellStyle name="Финансовый 2 2 4 2 3 3 2" xfId="8728"/>
    <cellStyle name="Финансовый 2 2 4 2 3 3 2 2" xfId="17183"/>
    <cellStyle name="Финансовый 2 2 4 2 3 3 3" xfId="17184"/>
    <cellStyle name="Финансовый 2 2 4 2 3 4" xfId="6672"/>
    <cellStyle name="Финансовый 2 2 4 2 3 4 2" xfId="17185"/>
    <cellStyle name="Финансовый 2 2 4 2 3 5" xfId="17186"/>
    <cellStyle name="Финансовый 2 2 4 2 4" xfId="1152"/>
    <cellStyle name="Финансовый 2 2 4 2 4 2" xfId="2271"/>
    <cellStyle name="Финансовый 2 2 4 2 4 2 2" xfId="4809"/>
    <cellStyle name="Финансовый 2 2 4 2 4 2 2 2" xfId="9927"/>
    <cellStyle name="Финансовый 2 2 4 2 4 2 2 2 2" xfId="17187"/>
    <cellStyle name="Финансовый 2 2 4 2 4 2 2 3" xfId="17188"/>
    <cellStyle name="Финансовый 2 2 4 2 4 2 3" xfId="7871"/>
    <cellStyle name="Финансовый 2 2 4 2 4 2 3 2" xfId="17189"/>
    <cellStyle name="Финансовый 2 2 4 2 4 2 4" xfId="17190"/>
    <cellStyle name="Финансовый 2 2 4 2 4 3" xfId="3781"/>
    <cellStyle name="Финансовый 2 2 4 2 4 3 2" xfId="8899"/>
    <cellStyle name="Финансовый 2 2 4 2 4 3 2 2" xfId="17191"/>
    <cellStyle name="Финансовый 2 2 4 2 4 3 3" xfId="17192"/>
    <cellStyle name="Финансовый 2 2 4 2 4 4" xfId="6843"/>
    <cellStyle name="Финансовый 2 2 4 2 4 4 2" xfId="17193"/>
    <cellStyle name="Финансовый 2 2 4 2 4 5" xfId="17194"/>
    <cellStyle name="Финансовый 2 2 4 2 5" xfId="1336"/>
    <cellStyle name="Финансовый 2 2 4 2 5 2" xfId="2442"/>
    <cellStyle name="Финансовый 2 2 4 2 5 2 2" xfId="4980"/>
    <cellStyle name="Финансовый 2 2 4 2 5 2 2 2" xfId="10098"/>
    <cellStyle name="Финансовый 2 2 4 2 5 2 2 2 2" xfId="17195"/>
    <cellStyle name="Финансовый 2 2 4 2 5 2 2 3" xfId="17196"/>
    <cellStyle name="Финансовый 2 2 4 2 5 2 3" xfId="8042"/>
    <cellStyle name="Финансовый 2 2 4 2 5 2 3 2" xfId="17197"/>
    <cellStyle name="Финансовый 2 2 4 2 5 2 4" xfId="17198"/>
    <cellStyle name="Финансовый 2 2 4 2 5 3" xfId="3952"/>
    <cellStyle name="Финансовый 2 2 4 2 5 3 2" xfId="9070"/>
    <cellStyle name="Финансовый 2 2 4 2 5 3 2 2" xfId="17199"/>
    <cellStyle name="Финансовый 2 2 4 2 5 3 3" xfId="17200"/>
    <cellStyle name="Финансовый 2 2 4 2 5 4" xfId="7014"/>
    <cellStyle name="Финансовый 2 2 4 2 5 4 2" xfId="17201"/>
    <cellStyle name="Финансовый 2 2 4 2 5 5" xfId="17202"/>
    <cellStyle name="Финансовый 2 2 4 2 6" xfId="1507"/>
    <cellStyle name="Финансовый 2 2 4 2 6 2" xfId="2613"/>
    <cellStyle name="Финансовый 2 2 4 2 6 2 2" xfId="5151"/>
    <cellStyle name="Финансовый 2 2 4 2 6 2 2 2" xfId="10269"/>
    <cellStyle name="Финансовый 2 2 4 2 6 2 2 2 2" xfId="17203"/>
    <cellStyle name="Финансовый 2 2 4 2 6 2 2 3" xfId="17204"/>
    <cellStyle name="Финансовый 2 2 4 2 6 2 3" xfId="8213"/>
    <cellStyle name="Финансовый 2 2 4 2 6 2 3 2" xfId="17205"/>
    <cellStyle name="Финансовый 2 2 4 2 6 2 4" xfId="17206"/>
    <cellStyle name="Финансовый 2 2 4 2 6 3" xfId="4123"/>
    <cellStyle name="Финансовый 2 2 4 2 6 3 2" xfId="9241"/>
    <cellStyle name="Финансовый 2 2 4 2 6 3 2 2" xfId="17207"/>
    <cellStyle name="Финансовый 2 2 4 2 6 3 3" xfId="17208"/>
    <cellStyle name="Финансовый 2 2 4 2 6 4" xfId="7185"/>
    <cellStyle name="Финансовый 2 2 4 2 6 4 2" xfId="17209"/>
    <cellStyle name="Финансовый 2 2 4 2 6 5" xfId="17210"/>
    <cellStyle name="Финансовый 2 2 4 2 7" xfId="1678"/>
    <cellStyle name="Финансовый 2 2 4 2 7 2" xfId="2784"/>
    <cellStyle name="Финансовый 2 2 4 2 7 2 2" xfId="5322"/>
    <cellStyle name="Финансовый 2 2 4 2 7 2 2 2" xfId="10440"/>
    <cellStyle name="Финансовый 2 2 4 2 7 2 2 2 2" xfId="17211"/>
    <cellStyle name="Финансовый 2 2 4 2 7 2 2 3" xfId="17212"/>
    <cellStyle name="Финансовый 2 2 4 2 7 2 3" xfId="8384"/>
    <cellStyle name="Финансовый 2 2 4 2 7 2 3 2" xfId="17213"/>
    <cellStyle name="Финансовый 2 2 4 2 7 2 4" xfId="17214"/>
    <cellStyle name="Финансовый 2 2 4 2 7 3" xfId="4294"/>
    <cellStyle name="Финансовый 2 2 4 2 7 3 2" xfId="9412"/>
    <cellStyle name="Финансовый 2 2 4 2 7 3 2 2" xfId="17215"/>
    <cellStyle name="Финансовый 2 2 4 2 7 3 3" xfId="17216"/>
    <cellStyle name="Финансовый 2 2 4 2 7 4" xfId="7356"/>
    <cellStyle name="Финансовый 2 2 4 2 7 4 2" xfId="17217"/>
    <cellStyle name="Финансовый 2 2 4 2 7 5" xfId="17218"/>
    <cellStyle name="Финансовый 2 2 4 2 8" xfId="1744"/>
    <cellStyle name="Финансовый 2 2 4 2 9" xfId="3115"/>
    <cellStyle name="Финансовый 2 2 4 3" xfId="486"/>
    <cellStyle name="Финансовый 2 2 4 3 2" xfId="3116"/>
    <cellStyle name="Финансовый 2 2 4 3 3" xfId="2878"/>
    <cellStyle name="Финансовый 2 2 4 4" xfId="17219"/>
    <cellStyle name="Финансовый 2 2 5" xfId="487"/>
    <cellStyle name="Финансовый 2 2 5 2" xfId="806"/>
    <cellStyle name="Финансовый 2 2 5 2 2" xfId="1928"/>
    <cellStyle name="Финансовый 2 2 5 2 2 2" xfId="4466"/>
    <cellStyle name="Финансовый 2 2 5 2 2 2 2" xfId="9584"/>
    <cellStyle name="Финансовый 2 2 5 2 2 2 2 2" xfId="17220"/>
    <cellStyle name="Финансовый 2 2 5 2 2 2 3" xfId="17221"/>
    <cellStyle name="Финансовый 2 2 5 2 2 3" xfId="7528"/>
    <cellStyle name="Финансовый 2 2 5 2 2 3 2" xfId="17222"/>
    <cellStyle name="Финансовый 2 2 5 2 2 4" xfId="17223"/>
    <cellStyle name="Финансовый 2 2 5 2 3" xfId="3438"/>
    <cellStyle name="Финансовый 2 2 5 2 3 2" xfId="8556"/>
    <cellStyle name="Финансовый 2 2 5 2 3 2 2" xfId="17224"/>
    <cellStyle name="Финансовый 2 2 5 2 3 3" xfId="17225"/>
    <cellStyle name="Финансовый 2 2 5 2 4" xfId="6500"/>
    <cellStyle name="Финансовый 2 2 5 2 4 2" xfId="17226"/>
    <cellStyle name="Финансовый 2 2 5 2 5" xfId="17227"/>
    <cellStyle name="Финансовый 2 2 5 2 6" xfId="17228"/>
    <cellStyle name="Финансовый 2 2 5 3" xfId="982"/>
    <cellStyle name="Финансовый 2 2 5 3 2" xfId="2101"/>
    <cellStyle name="Финансовый 2 2 5 3 2 2" xfId="4639"/>
    <cellStyle name="Финансовый 2 2 5 3 2 2 2" xfId="9757"/>
    <cellStyle name="Финансовый 2 2 5 3 2 2 2 2" xfId="17229"/>
    <cellStyle name="Финансовый 2 2 5 3 2 2 3" xfId="17230"/>
    <cellStyle name="Финансовый 2 2 5 3 2 3" xfId="7701"/>
    <cellStyle name="Финансовый 2 2 5 3 2 3 2" xfId="17231"/>
    <cellStyle name="Финансовый 2 2 5 3 2 4" xfId="17232"/>
    <cellStyle name="Финансовый 2 2 5 3 3" xfId="3611"/>
    <cellStyle name="Финансовый 2 2 5 3 3 2" xfId="8729"/>
    <cellStyle name="Финансовый 2 2 5 3 3 2 2" xfId="17233"/>
    <cellStyle name="Финансовый 2 2 5 3 3 3" xfId="17234"/>
    <cellStyle name="Финансовый 2 2 5 3 4" xfId="6673"/>
    <cellStyle name="Финансовый 2 2 5 3 4 2" xfId="17235"/>
    <cellStyle name="Финансовый 2 2 5 3 5" xfId="17236"/>
    <cellStyle name="Финансовый 2 2 5 4" xfId="1153"/>
    <cellStyle name="Финансовый 2 2 5 4 2" xfId="2272"/>
    <cellStyle name="Финансовый 2 2 5 4 2 2" xfId="4810"/>
    <cellStyle name="Финансовый 2 2 5 4 2 2 2" xfId="9928"/>
    <cellStyle name="Финансовый 2 2 5 4 2 2 2 2" xfId="17237"/>
    <cellStyle name="Финансовый 2 2 5 4 2 2 3" xfId="17238"/>
    <cellStyle name="Финансовый 2 2 5 4 2 3" xfId="7872"/>
    <cellStyle name="Финансовый 2 2 5 4 2 3 2" xfId="17239"/>
    <cellStyle name="Финансовый 2 2 5 4 2 4" xfId="17240"/>
    <cellStyle name="Финансовый 2 2 5 4 3" xfId="3782"/>
    <cellStyle name="Финансовый 2 2 5 4 3 2" xfId="8900"/>
    <cellStyle name="Финансовый 2 2 5 4 3 2 2" xfId="17241"/>
    <cellStyle name="Финансовый 2 2 5 4 3 3" xfId="17242"/>
    <cellStyle name="Финансовый 2 2 5 4 4" xfId="6844"/>
    <cellStyle name="Финансовый 2 2 5 4 4 2" xfId="17243"/>
    <cellStyle name="Финансовый 2 2 5 4 5" xfId="17244"/>
    <cellStyle name="Финансовый 2 2 5 5" xfId="1337"/>
    <cellStyle name="Финансовый 2 2 5 5 2" xfId="2443"/>
    <cellStyle name="Финансовый 2 2 5 5 2 2" xfId="4981"/>
    <cellStyle name="Финансовый 2 2 5 5 2 2 2" xfId="10099"/>
    <cellStyle name="Финансовый 2 2 5 5 2 2 2 2" xfId="17245"/>
    <cellStyle name="Финансовый 2 2 5 5 2 2 3" xfId="17246"/>
    <cellStyle name="Финансовый 2 2 5 5 2 3" xfId="8043"/>
    <cellStyle name="Финансовый 2 2 5 5 2 3 2" xfId="17247"/>
    <cellStyle name="Финансовый 2 2 5 5 2 4" xfId="17248"/>
    <cellStyle name="Финансовый 2 2 5 5 3" xfId="3953"/>
    <cellStyle name="Финансовый 2 2 5 5 3 2" xfId="9071"/>
    <cellStyle name="Финансовый 2 2 5 5 3 2 2" xfId="17249"/>
    <cellStyle name="Финансовый 2 2 5 5 3 3" xfId="17250"/>
    <cellStyle name="Финансовый 2 2 5 5 4" xfId="7015"/>
    <cellStyle name="Финансовый 2 2 5 5 4 2" xfId="17251"/>
    <cellStyle name="Финансовый 2 2 5 5 5" xfId="17252"/>
    <cellStyle name="Финансовый 2 2 5 6" xfId="1508"/>
    <cellStyle name="Финансовый 2 2 5 6 2" xfId="2614"/>
    <cellStyle name="Финансовый 2 2 5 6 2 2" xfId="5152"/>
    <cellStyle name="Финансовый 2 2 5 6 2 2 2" xfId="10270"/>
    <cellStyle name="Финансовый 2 2 5 6 2 2 2 2" xfId="17253"/>
    <cellStyle name="Финансовый 2 2 5 6 2 2 3" xfId="17254"/>
    <cellStyle name="Финансовый 2 2 5 6 2 3" xfId="8214"/>
    <cellStyle name="Финансовый 2 2 5 6 2 3 2" xfId="17255"/>
    <cellStyle name="Финансовый 2 2 5 6 2 4" xfId="17256"/>
    <cellStyle name="Финансовый 2 2 5 6 3" xfId="4124"/>
    <cellStyle name="Финансовый 2 2 5 6 3 2" xfId="9242"/>
    <cellStyle name="Финансовый 2 2 5 6 3 2 2" xfId="17257"/>
    <cellStyle name="Финансовый 2 2 5 6 3 3" xfId="17258"/>
    <cellStyle name="Финансовый 2 2 5 6 4" xfId="7186"/>
    <cellStyle name="Финансовый 2 2 5 6 4 2" xfId="17259"/>
    <cellStyle name="Финансовый 2 2 5 6 5" xfId="17260"/>
    <cellStyle name="Финансовый 2 2 5 7" xfId="1679"/>
    <cellStyle name="Финансовый 2 2 5 7 2" xfId="2785"/>
    <cellStyle name="Финансовый 2 2 5 7 2 2" xfId="5323"/>
    <cellStyle name="Финансовый 2 2 5 7 2 2 2" xfId="10441"/>
    <cellStyle name="Финансовый 2 2 5 7 2 2 2 2" xfId="17261"/>
    <cellStyle name="Финансовый 2 2 5 7 2 2 3" xfId="17262"/>
    <cellStyle name="Финансовый 2 2 5 7 2 3" xfId="8385"/>
    <cellStyle name="Финансовый 2 2 5 7 2 3 2" xfId="17263"/>
    <cellStyle name="Финансовый 2 2 5 7 2 4" xfId="17264"/>
    <cellStyle name="Финансовый 2 2 5 7 3" xfId="4295"/>
    <cellStyle name="Финансовый 2 2 5 7 3 2" xfId="9413"/>
    <cellStyle name="Финансовый 2 2 5 7 3 2 2" xfId="17265"/>
    <cellStyle name="Финансовый 2 2 5 7 3 3" xfId="17266"/>
    <cellStyle name="Финансовый 2 2 5 7 4" xfId="7357"/>
    <cellStyle name="Финансовый 2 2 5 7 4 2" xfId="17267"/>
    <cellStyle name="Финансовый 2 2 5 7 5" xfId="17268"/>
    <cellStyle name="Финансовый 2 2 5 8" xfId="1745"/>
    <cellStyle name="Финансовый 2 2 5 9" xfId="3117"/>
    <cellStyle name="Финансовый 2 2 6" xfId="488"/>
    <cellStyle name="Финансовый 2 2 6 2" xfId="3118"/>
    <cellStyle name="Финансовый 2 2 6 3" xfId="2872"/>
    <cellStyle name="Финансовый 2 2 7" xfId="17269"/>
    <cellStyle name="Финансовый 2 3" xfId="489"/>
    <cellStyle name="Финансовый 2 3 2" xfId="490"/>
    <cellStyle name="Финансовый 2 3 2 2" xfId="491"/>
    <cellStyle name="Финансовый 2 3 2 2 2" xfId="492"/>
    <cellStyle name="Финансовый 2 3 2 2 2 2" xfId="807"/>
    <cellStyle name="Финансовый 2 3 2 2 2 2 2" xfId="1929"/>
    <cellStyle name="Финансовый 2 3 2 2 2 2 2 2" xfId="4467"/>
    <cellStyle name="Финансовый 2 3 2 2 2 2 2 2 2" xfId="9585"/>
    <cellStyle name="Финансовый 2 3 2 2 2 2 2 2 2 2" xfId="17270"/>
    <cellStyle name="Финансовый 2 3 2 2 2 2 2 2 3" xfId="17271"/>
    <cellStyle name="Финансовый 2 3 2 2 2 2 2 3" xfId="7529"/>
    <cellStyle name="Финансовый 2 3 2 2 2 2 2 3 2" xfId="17272"/>
    <cellStyle name="Финансовый 2 3 2 2 2 2 2 4" xfId="17273"/>
    <cellStyle name="Финансовый 2 3 2 2 2 2 3" xfId="3439"/>
    <cellStyle name="Финансовый 2 3 2 2 2 2 3 2" xfId="8557"/>
    <cellStyle name="Финансовый 2 3 2 2 2 2 3 2 2" xfId="17274"/>
    <cellStyle name="Финансовый 2 3 2 2 2 2 3 3" xfId="17275"/>
    <cellStyle name="Финансовый 2 3 2 2 2 2 4" xfId="6501"/>
    <cellStyle name="Финансовый 2 3 2 2 2 2 4 2" xfId="17276"/>
    <cellStyle name="Финансовый 2 3 2 2 2 2 5" xfId="17277"/>
    <cellStyle name="Финансовый 2 3 2 2 2 2 6" xfId="17278"/>
    <cellStyle name="Финансовый 2 3 2 2 2 3" xfId="983"/>
    <cellStyle name="Финансовый 2 3 2 2 2 3 2" xfId="2102"/>
    <cellStyle name="Финансовый 2 3 2 2 2 3 2 2" xfId="4640"/>
    <cellStyle name="Финансовый 2 3 2 2 2 3 2 2 2" xfId="9758"/>
    <cellStyle name="Финансовый 2 3 2 2 2 3 2 2 2 2" xfId="17279"/>
    <cellStyle name="Финансовый 2 3 2 2 2 3 2 2 3" xfId="17280"/>
    <cellStyle name="Финансовый 2 3 2 2 2 3 2 3" xfId="7702"/>
    <cellStyle name="Финансовый 2 3 2 2 2 3 2 3 2" xfId="17281"/>
    <cellStyle name="Финансовый 2 3 2 2 2 3 2 4" xfId="17282"/>
    <cellStyle name="Финансовый 2 3 2 2 2 3 3" xfId="3612"/>
    <cellStyle name="Финансовый 2 3 2 2 2 3 3 2" xfId="8730"/>
    <cellStyle name="Финансовый 2 3 2 2 2 3 3 2 2" xfId="17283"/>
    <cellStyle name="Финансовый 2 3 2 2 2 3 3 3" xfId="17284"/>
    <cellStyle name="Финансовый 2 3 2 2 2 3 4" xfId="6674"/>
    <cellStyle name="Финансовый 2 3 2 2 2 3 4 2" xfId="17285"/>
    <cellStyle name="Финансовый 2 3 2 2 2 3 5" xfId="17286"/>
    <cellStyle name="Финансовый 2 3 2 2 2 4" xfId="1154"/>
    <cellStyle name="Финансовый 2 3 2 2 2 4 2" xfId="2273"/>
    <cellStyle name="Финансовый 2 3 2 2 2 4 2 2" xfId="4811"/>
    <cellStyle name="Финансовый 2 3 2 2 2 4 2 2 2" xfId="9929"/>
    <cellStyle name="Финансовый 2 3 2 2 2 4 2 2 2 2" xfId="17287"/>
    <cellStyle name="Финансовый 2 3 2 2 2 4 2 2 3" xfId="17288"/>
    <cellStyle name="Финансовый 2 3 2 2 2 4 2 3" xfId="7873"/>
    <cellStyle name="Финансовый 2 3 2 2 2 4 2 3 2" xfId="17289"/>
    <cellStyle name="Финансовый 2 3 2 2 2 4 2 4" xfId="17290"/>
    <cellStyle name="Финансовый 2 3 2 2 2 4 3" xfId="3783"/>
    <cellStyle name="Финансовый 2 3 2 2 2 4 3 2" xfId="8901"/>
    <cellStyle name="Финансовый 2 3 2 2 2 4 3 2 2" xfId="17291"/>
    <cellStyle name="Финансовый 2 3 2 2 2 4 3 3" xfId="17292"/>
    <cellStyle name="Финансовый 2 3 2 2 2 4 4" xfId="6845"/>
    <cellStyle name="Финансовый 2 3 2 2 2 4 4 2" xfId="17293"/>
    <cellStyle name="Финансовый 2 3 2 2 2 4 5" xfId="17294"/>
    <cellStyle name="Финансовый 2 3 2 2 2 5" xfId="1338"/>
    <cellStyle name="Финансовый 2 3 2 2 2 5 2" xfId="2444"/>
    <cellStyle name="Финансовый 2 3 2 2 2 5 2 2" xfId="4982"/>
    <cellStyle name="Финансовый 2 3 2 2 2 5 2 2 2" xfId="10100"/>
    <cellStyle name="Финансовый 2 3 2 2 2 5 2 2 2 2" xfId="17295"/>
    <cellStyle name="Финансовый 2 3 2 2 2 5 2 2 3" xfId="17296"/>
    <cellStyle name="Финансовый 2 3 2 2 2 5 2 3" xfId="8044"/>
    <cellStyle name="Финансовый 2 3 2 2 2 5 2 3 2" xfId="17297"/>
    <cellStyle name="Финансовый 2 3 2 2 2 5 2 4" xfId="17298"/>
    <cellStyle name="Финансовый 2 3 2 2 2 5 3" xfId="3954"/>
    <cellStyle name="Финансовый 2 3 2 2 2 5 3 2" xfId="9072"/>
    <cellStyle name="Финансовый 2 3 2 2 2 5 3 2 2" xfId="17299"/>
    <cellStyle name="Финансовый 2 3 2 2 2 5 3 3" xfId="17300"/>
    <cellStyle name="Финансовый 2 3 2 2 2 5 4" xfId="7016"/>
    <cellStyle name="Финансовый 2 3 2 2 2 5 4 2" xfId="17301"/>
    <cellStyle name="Финансовый 2 3 2 2 2 5 5" xfId="17302"/>
    <cellStyle name="Финансовый 2 3 2 2 2 6" xfId="1509"/>
    <cellStyle name="Финансовый 2 3 2 2 2 6 2" xfId="2615"/>
    <cellStyle name="Финансовый 2 3 2 2 2 6 2 2" xfId="5153"/>
    <cellStyle name="Финансовый 2 3 2 2 2 6 2 2 2" xfId="10271"/>
    <cellStyle name="Финансовый 2 3 2 2 2 6 2 2 2 2" xfId="17303"/>
    <cellStyle name="Финансовый 2 3 2 2 2 6 2 2 3" xfId="17304"/>
    <cellStyle name="Финансовый 2 3 2 2 2 6 2 3" xfId="8215"/>
    <cellStyle name="Финансовый 2 3 2 2 2 6 2 3 2" xfId="17305"/>
    <cellStyle name="Финансовый 2 3 2 2 2 6 2 4" xfId="17306"/>
    <cellStyle name="Финансовый 2 3 2 2 2 6 3" xfId="4125"/>
    <cellStyle name="Финансовый 2 3 2 2 2 6 3 2" xfId="9243"/>
    <cellStyle name="Финансовый 2 3 2 2 2 6 3 2 2" xfId="17307"/>
    <cellStyle name="Финансовый 2 3 2 2 2 6 3 3" xfId="17308"/>
    <cellStyle name="Финансовый 2 3 2 2 2 6 4" xfId="7187"/>
    <cellStyle name="Финансовый 2 3 2 2 2 6 4 2" xfId="17309"/>
    <cellStyle name="Финансовый 2 3 2 2 2 6 5" xfId="17310"/>
    <cellStyle name="Финансовый 2 3 2 2 2 7" xfId="1680"/>
    <cellStyle name="Финансовый 2 3 2 2 2 7 2" xfId="2786"/>
    <cellStyle name="Финансовый 2 3 2 2 2 7 2 2" xfId="5324"/>
    <cellStyle name="Финансовый 2 3 2 2 2 7 2 2 2" xfId="10442"/>
    <cellStyle name="Финансовый 2 3 2 2 2 7 2 2 2 2" xfId="17311"/>
    <cellStyle name="Финансовый 2 3 2 2 2 7 2 2 3" xfId="17312"/>
    <cellStyle name="Финансовый 2 3 2 2 2 7 2 3" xfId="8386"/>
    <cellStyle name="Финансовый 2 3 2 2 2 7 2 3 2" xfId="17313"/>
    <cellStyle name="Финансовый 2 3 2 2 2 7 2 4" xfId="17314"/>
    <cellStyle name="Финансовый 2 3 2 2 2 7 3" xfId="4296"/>
    <cellStyle name="Финансовый 2 3 2 2 2 7 3 2" xfId="9414"/>
    <cellStyle name="Финансовый 2 3 2 2 2 7 3 2 2" xfId="17315"/>
    <cellStyle name="Финансовый 2 3 2 2 2 7 3 3" xfId="17316"/>
    <cellStyle name="Финансовый 2 3 2 2 2 7 4" xfId="7358"/>
    <cellStyle name="Финансовый 2 3 2 2 2 7 4 2" xfId="17317"/>
    <cellStyle name="Финансовый 2 3 2 2 2 7 5" xfId="17318"/>
    <cellStyle name="Финансовый 2 3 2 2 2 8" xfId="1746"/>
    <cellStyle name="Финансовый 2 3 2 2 2 9" xfId="3119"/>
    <cellStyle name="Финансовый 2 3 2 2 3" xfId="493"/>
    <cellStyle name="Финансовый 2 3 2 2 3 2" xfId="3120"/>
    <cellStyle name="Финансовый 2 3 2 2 3 3" xfId="2881"/>
    <cellStyle name="Финансовый 2 3 2 2 4" xfId="17319"/>
    <cellStyle name="Финансовый 2 3 2 3" xfId="494"/>
    <cellStyle name="Финансовый 2 3 2 3 2" xfId="495"/>
    <cellStyle name="Финансовый 2 3 2 3 2 2" xfId="808"/>
    <cellStyle name="Финансовый 2 3 2 3 2 2 2" xfId="1930"/>
    <cellStyle name="Финансовый 2 3 2 3 2 2 2 2" xfId="4468"/>
    <cellStyle name="Финансовый 2 3 2 3 2 2 2 2 2" xfId="9586"/>
    <cellStyle name="Финансовый 2 3 2 3 2 2 2 2 2 2" xfId="17320"/>
    <cellStyle name="Финансовый 2 3 2 3 2 2 2 2 3" xfId="17321"/>
    <cellStyle name="Финансовый 2 3 2 3 2 2 2 3" xfId="7530"/>
    <cellStyle name="Финансовый 2 3 2 3 2 2 2 3 2" xfId="17322"/>
    <cellStyle name="Финансовый 2 3 2 3 2 2 2 4" xfId="17323"/>
    <cellStyle name="Финансовый 2 3 2 3 2 2 3" xfId="3440"/>
    <cellStyle name="Финансовый 2 3 2 3 2 2 3 2" xfId="8558"/>
    <cellStyle name="Финансовый 2 3 2 3 2 2 3 2 2" xfId="17324"/>
    <cellStyle name="Финансовый 2 3 2 3 2 2 3 3" xfId="17325"/>
    <cellStyle name="Финансовый 2 3 2 3 2 2 4" xfId="6502"/>
    <cellStyle name="Финансовый 2 3 2 3 2 2 4 2" xfId="17326"/>
    <cellStyle name="Финансовый 2 3 2 3 2 2 5" xfId="17327"/>
    <cellStyle name="Финансовый 2 3 2 3 2 2 6" xfId="17328"/>
    <cellStyle name="Финансовый 2 3 2 3 2 3" xfId="984"/>
    <cellStyle name="Финансовый 2 3 2 3 2 3 2" xfId="2103"/>
    <cellStyle name="Финансовый 2 3 2 3 2 3 2 2" xfId="4641"/>
    <cellStyle name="Финансовый 2 3 2 3 2 3 2 2 2" xfId="9759"/>
    <cellStyle name="Финансовый 2 3 2 3 2 3 2 2 2 2" xfId="17329"/>
    <cellStyle name="Финансовый 2 3 2 3 2 3 2 2 3" xfId="17330"/>
    <cellStyle name="Финансовый 2 3 2 3 2 3 2 3" xfId="7703"/>
    <cellStyle name="Финансовый 2 3 2 3 2 3 2 3 2" xfId="17331"/>
    <cellStyle name="Финансовый 2 3 2 3 2 3 2 4" xfId="17332"/>
    <cellStyle name="Финансовый 2 3 2 3 2 3 3" xfId="3613"/>
    <cellStyle name="Финансовый 2 3 2 3 2 3 3 2" xfId="8731"/>
    <cellStyle name="Финансовый 2 3 2 3 2 3 3 2 2" xfId="17333"/>
    <cellStyle name="Финансовый 2 3 2 3 2 3 3 3" xfId="17334"/>
    <cellStyle name="Финансовый 2 3 2 3 2 3 4" xfId="6675"/>
    <cellStyle name="Финансовый 2 3 2 3 2 3 4 2" xfId="17335"/>
    <cellStyle name="Финансовый 2 3 2 3 2 3 5" xfId="17336"/>
    <cellStyle name="Финансовый 2 3 2 3 2 4" xfId="1155"/>
    <cellStyle name="Финансовый 2 3 2 3 2 4 2" xfId="2274"/>
    <cellStyle name="Финансовый 2 3 2 3 2 4 2 2" xfId="4812"/>
    <cellStyle name="Финансовый 2 3 2 3 2 4 2 2 2" xfId="9930"/>
    <cellStyle name="Финансовый 2 3 2 3 2 4 2 2 2 2" xfId="17337"/>
    <cellStyle name="Финансовый 2 3 2 3 2 4 2 2 3" xfId="17338"/>
    <cellStyle name="Финансовый 2 3 2 3 2 4 2 3" xfId="7874"/>
    <cellStyle name="Финансовый 2 3 2 3 2 4 2 3 2" xfId="17339"/>
    <cellStyle name="Финансовый 2 3 2 3 2 4 2 4" xfId="17340"/>
    <cellStyle name="Финансовый 2 3 2 3 2 4 3" xfId="3784"/>
    <cellStyle name="Финансовый 2 3 2 3 2 4 3 2" xfId="8902"/>
    <cellStyle name="Финансовый 2 3 2 3 2 4 3 2 2" xfId="17341"/>
    <cellStyle name="Финансовый 2 3 2 3 2 4 3 3" xfId="17342"/>
    <cellStyle name="Финансовый 2 3 2 3 2 4 4" xfId="6846"/>
    <cellStyle name="Финансовый 2 3 2 3 2 4 4 2" xfId="17343"/>
    <cellStyle name="Финансовый 2 3 2 3 2 4 5" xfId="17344"/>
    <cellStyle name="Финансовый 2 3 2 3 2 5" xfId="1339"/>
    <cellStyle name="Финансовый 2 3 2 3 2 5 2" xfId="2445"/>
    <cellStyle name="Финансовый 2 3 2 3 2 5 2 2" xfId="4983"/>
    <cellStyle name="Финансовый 2 3 2 3 2 5 2 2 2" xfId="10101"/>
    <cellStyle name="Финансовый 2 3 2 3 2 5 2 2 2 2" xfId="17345"/>
    <cellStyle name="Финансовый 2 3 2 3 2 5 2 2 3" xfId="17346"/>
    <cellStyle name="Финансовый 2 3 2 3 2 5 2 3" xfId="8045"/>
    <cellStyle name="Финансовый 2 3 2 3 2 5 2 3 2" xfId="17347"/>
    <cellStyle name="Финансовый 2 3 2 3 2 5 2 4" xfId="17348"/>
    <cellStyle name="Финансовый 2 3 2 3 2 5 3" xfId="3955"/>
    <cellStyle name="Финансовый 2 3 2 3 2 5 3 2" xfId="9073"/>
    <cellStyle name="Финансовый 2 3 2 3 2 5 3 2 2" xfId="17349"/>
    <cellStyle name="Финансовый 2 3 2 3 2 5 3 3" xfId="17350"/>
    <cellStyle name="Финансовый 2 3 2 3 2 5 4" xfId="7017"/>
    <cellStyle name="Финансовый 2 3 2 3 2 5 4 2" xfId="17351"/>
    <cellStyle name="Финансовый 2 3 2 3 2 5 5" xfId="17352"/>
    <cellStyle name="Финансовый 2 3 2 3 2 6" xfId="1510"/>
    <cellStyle name="Финансовый 2 3 2 3 2 6 2" xfId="2616"/>
    <cellStyle name="Финансовый 2 3 2 3 2 6 2 2" xfId="5154"/>
    <cellStyle name="Финансовый 2 3 2 3 2 6 2 2 2" xfId="10272"/>
    <cellStyle name="Финансовый 2 3 2 3 2 6 2 2 2 2" xfId="17353"/>
    <cellStyle name="Финансовый 2 3 2 3 2 6 2 2 3" xfId="17354"/>
    <cellStyle name="Финансовый 2 3 2 3 2 6 2 3" xfId="8216"/>
    <cellStyle name="Финансовый 2 3 2 3 2 6 2 3 2" xfId="17355"/>
    <cellStyle name="Финансовый 2 3 2 3 2 6 2 4" xfId="17356"/>
    <cellStyle name="Финансовый 2 3 2 3 2 6 3" xfId="4126"/>
    <cellStyle name="Финансовый 2 3 2 3 2 6 3 2" xfId="9244"/>
    <cellStyle name="Финансовый 2 3 2 3 2 6 3 2 2" xfId="17357"/>
    <cellStyle name="Финансовый 2 3 2 3 2 6 3 3" xfId="17358"/>
    <cellStyle name="Финансовый 2 3 2 3 2 6 4" xfId="7188"/>
    <cellStyle name="Финансовый 2 3 2 3 2 6 4 2" xfId="17359"/>
    <cellStyle name="Финансовый 2 3 2 3 2 6 5" xfId="17360"/>
    <cellStyle name="Финансовый 2 3 2 3 2 7" xfId="1681"/>
    <cellStyle name="Финансовый 2 3 2 3 2 7 2" xfId="2787"/>
    <cellStyle name="Финансовый 2 3 2 3 2 7 2 2" xfId="5325"/>
    <cellStyle name="Финансовый 2 3 2 3 2 7 2 2 2" xfId="10443"/>
    <cellStyle name="Финансовый 2 3 2 3 2 7 2 2 2 2" xfId="17361"/>
    <cellStyle name="Финансовый 2 3 2 3 2 7 2 2 3" xfId="17362"/>
    <cellStyle name="Финансовый 2 3 2 3 2 7 2 3" xfId="8387"/>
    <cellStyle name="Финансовый 2 3 2 3 2 7 2 3 2" xfId="17363"/>
    <cellStyle name="Финансовый 2 3 2 3 2 7 2 4" xfId="17364"/>
    <cellStyle name="Финансовый 2 3 2 3 2 7 3" xfId="4297"/>
    <cellStyle name="Финансовый 2 3 2 3 2 7 3 2" xfId="9415"/>
    <cellStyle name="Финансовый 2 3 2 3 2 7 3 2 2" xfId="17365"/>
    <cellStyle name="Финансовый 2 3 2 3 2 7 3 3" xfId="17366"/>
    <cellStyle name="Финансовый 2 3 2 3 2 7 4" xfId="7359"/>
    <cellStyle name="Финансовый 2 3 2 3 2 7 4 2" xfId="17367"/>
    <cellStyle name="Финансовый 2 3 2 3 2 7 5" xfId="17368"/>
    <cellStyle name="Финансовый 2 3 2 3 2 8" xfId="1747"/>
    <cellStyle name="Финансовый 2 3 2 3 2 9" xfId="3121"/>
    <cellStyle name="Финансовый 2 3 2 3 3" xfId="496"/>
    <cellStyle name="Финансовый 2 3 2 3 3 2" xfId="3122"/>
    <cellStyle name="Финансовый 2 3 2 3 3 3" xfId="2882"/>
    <cellStyle name="Финансовый 2 3 2 3 4" xfId="17369"/>
    <cellStyle name="Финансовый 2 3 2 4" xfId="497"/>
    <cellStyle name="Финансовый 2 3 2 4 2" xfId="809"/>
    <cellStyle name="Финансовый 2 3 2 4 2 2" xfId="1931"/>
    <cellStyle name="Финансовый 2 3 2 4 2 2 2" xfId="4469"/>
    <cellStyle name="Финансовый 2 3 2 4 2 2 2 2" xfId="9587"/>
    <cellStyle name="Финансовый 2 3 2 4 2 2 2 2 2" xfId="17370"/>
    <cellStyle name="Финансовый 2 3 2 4 2 2 2 3" xfId="17371"/>
    <cellStyle name="Финансовый 2 3 2 4 2 2 3" xfId="7531"/>
    <cellStyle name="Финансовый 2 3 2 4 2 2 3 2" xfId="17372"/>
    <cellStyle name="Финансовый 2 3 2 4 2 2 4" xfId="17373"/>
    <cellStyle name="Финансовый 2 3 2 4 2 3" xfId="3441"/>
    <cellStyle name="Финансовый 2 3 2 4 2 3 2" xfId="8559"/>
    <cellStyle name="Финансовый 2 3 2 4 2 3 2 2" xfId="17374"/>
    <cellStyle name="Финансовый 2 3 2 4 2 3 3" xfId="17375"/>
    <cellStyle name="Финансовый 2 3 2 4 2 4" xfId="6503"/>
    <cellStyle name="Финансовый 2 3 2 4 2 4 2" xfId="17376"/>
    <cellStyle name="Финансовый 2 3 2 4 2 5" xfId="17377"/>
    <cellStyle name="Финансовый 2 3 2 4 2 6" xfId="17378"/>
    <cellStyle name="Финансовый 2 3 2 4 3" xfId="985"/>
    <cellStyle name="Финансовый 2 3 2 4 3 2" xfId="2104"/>
    <cellStyle name="Финансовый 2 3 2 4 3 2 2" xfId="4642"/>
    <cellStyle name="Финансовый 2 3 2 4 3 2 2 2" xfId="9760"/>
    <cellStyle name="Финансовый 2 3 2 4 3 2 2 2 2" xfId="17379"/>
    <cellStyle name="Финансовый 2 3 2 4 3 2 2 3" xfId="17380"/>
    <cellStyle name="Финансовый 2 3 2 4 3 2 3" xfId="7704"/>
    <cellStyle name="Финансовый 2 3 2 4 3 2 3 2" xfId="17381"/>
    <cellStyle name="Финансовый 2 3 2 4 3 2 4" xfId="17382"/>
    <cellStyle name="Финансовый 2 3 2 4 3 3" xfId="3614"/>
    <cellStyle name="Финансовый 2 3 2 4 3 3 2" xfId="8732"/>
    <cellStyle name="Финансовый 2 3 2 4 3 3 2 2" xfId="17383"/>
    <cellStyle name="Финансовый 2 3 2 4 3 3 3" xfId="17384"/>
    <cellStyle name="Финансовый 2 3 2 4 3 4" xfId="6676"/>
    <cellStyle name="Финансовый 2 3 2 4 3 4 2" xfId="17385"/>
    <cellStyle name="Финансовый 2 3 2 4 3 5" xfId="17386"/>
    <cellStyle name="Финансовый 2 3 2 4 4" xfId="1156"/>
    <cellStyle name="Финансовый 2 3 2 4 4 2" xfId="2275"/>
    <cellStyle name="Финансовый 2 3 2 4 4 2 2" xfId="4813"/>
    <cellStyle name="Финансовый 2 3 2 4 4 2 2 2" xfId="9931"/>
    <cellStyle name="Финансовый 2 3 2 4 4 2 2 2 2" xfId="17387"/>
    <cellStyle name="Финансовый 2 3 2 4 4 2 2 3" xfId="17388"/>
    <cellStyle name="Финансовый 2 3 2 4 4 2 3" xfId="7875"/>
    <cellStyle name="Финансовый 2 3 2 4 4 2 3 2" xfId="17389"/>
    <cellStyle name="Финансовый 2 3 2 4 4 2 4" xfId="17390"/>
    <cellStyle name="Финансовый 2 3 2 4 4 3" xfId="3785"/>
    <cellStyle name="Финансовый 2 3 2 4 4 3 2" xfId="8903"/>
    <cellStyle name="Финансовый 2 3 2 4 4 3 2 2" xfId="17391"/>
    <cellStyle name="Финансовый 2 3 2 4 4 3 3" xfId="17392"/>
    <cellStyle name="Финансовый 2 3 2 4 4 4" xfId="6847"/>
    <cellStyle name="Финансовый 2 3 2 4 4 4 2" xfId="17393"/>
    <cellStyle name="Финансовый 2 3 2 4 4 5" xfId="17394"/>
    <cellStyle name="Финансовый 2 3 2 4 5" xfId="1340"/>
    <cellStyle name="Финансовый 2 3 2 4 5 2" xfId="2446"/>
    <cellStyle name="Финансовый 2 3 2 4 5 2 2" xfId="4984"/>
    <cellStyle name="Финансовый 2 3 2 4 5 2 2 2" xfId="10102"/>
    <cellStyle name="Финансовый 2 3 2 4 5 2 2 2 2" xfId="17395"/>
    <cellStyle name="Финансовый 2 3 2 4 5 2 2 3" xfId="17396"/>
    <cellStyle name="Финансовый 2 3 2 4 5 2 3" xfId="8046"/>
    <cellStyle name="Финансовый 2 3 2 4 5 2 3 2" xfId="17397"/>
    <cellStyle name="Финансовый 2 3 2 4 5 2 4" xfId="17398"/>
    <cellStyle name="Финансовый 2 3 2 4 5 3" xfId="3956"/>
    <cellStyle name="Финансовый 2 3 2 4 5 3 2" xfId="9074"/>
    <cellStyle name="Финансовый 2 3 2 4 5 3 2 2" xfId="17399"/>
    <cellStyle name="Финансовый 2 3 2 4 5 3 3" xfId="17400"/>
    <cellStyle name="Финансовый 2 3 2 4 5 4" xfId="7018"/>
    <cellStyle name="Финансовый 2 3 2 4 5 4 2" xfId="17401"/>
    <cellStyle name="Финансовый 2 3 2 4 5 5" xfId="17402"/>
    <cellStyle name="Финансовый 2 3 2 4 6" xfId="1511"/>
    <cellStyle name="Финансовый 2 3 2 4 6 2" xfId="2617"/>
    <cellStyle name="Финансовый 2 3 2 4 6 2 2" xfId="5155"/>
    <cellStyle name="Финансовый 2 3 2 4 6 2 2 2" xfId="10273"/>
    <cellStyle name="Финансовый 2 3 2 4 6 2 2 2 2" xfId="17403"/>
    <cellStyle name="Финансовый 2 3 2 4 6 2 2 3" xfId="17404"/>
    <cellStyle name="Финансовый 2 3 2 4 6 2 3" xfId="8217"/>
    <cellStyle name="Финансовый 2 3 2 4 6 2 3 2" xfId="17405"/>
    <cellStyle name="Финансовый 2 3 2 4 6 2 4" xfId="17406"/>
    <cellStyle name="Финансовый 2 3 2 4 6 3" xfId="4127"/>
    <cellStyle name="Финансовый 2 3 2 4 6 3 2" xfId="9245"/>
    <cellStyle name="Финансовый 2 3 2 4 6 3 2 2" xfId="17407"/>
    <cellStyle name="Финансовый 2 3 2 4 6 3 3" xfId="17408"/>
    <cellStyle name="Финансовый 2 3 2 4 6 4" xfId="7189"/>
    <cellStyle name="Финансовый 2 3 2 4 6 4 2" xfId="17409"/>
    <cellStyle name="Финансовый 2 3 2 4 6 5" xfId="17410"/>
    <cellStyle name="Финансовый 2 3 2 4 7" xfId="1682"/>
    <cellStyle name="Финансовый 2 3 2 4 7 2" xfId="2788"/>
    <cellStyle name="Финансовый 2 3 2 4 7 2 2" xfId="5326"/>
    <cellStyle name="Финансовый 2 3 2 4 7 2 2 2" xfId="10444"/>
    <cellStyle name="Финансовый 2 3 2 4 7 2 2 2 2" xfId="17411"/>
    <cellStyle name="Финансовый 2 3 2 4 7 2 2 3" xfId="17412"/>
    <cellStyle name="Финансовый 2 3 2 4 7 2 3" xfId="8388"/>
    <cellStyle name="Финансовый 2 3 2 4 7 2 3 2" xfId="17413"/>
    <cellStyle name="Финансовый 2 3 2 4 7 2 4" xfId="17414"/>
    <cellStyle name="Финансовый 2 3 2 4 7 3" xfId="4298"/>
    <cellStyle name="Финансовый 2 3 2 4 7 3 2" xfId="9416"/>
    <cellStyle name="Финансовый 2 3 2 4 7 3 2 2" xfId="17415"/>
    <cellStyle name="Финансовый 2 3 2 4 7 3 3" xfId="17416"/>
    <cellStyle name="Финансовый 2 3 2 4 7 4" xfId="7360"/>
    <cellStyle name="Финансовый 2 3 2 4 7 4 2" xfId="17417"/>
    <cellStyle name="Финансовый 2 3 2 4 7 5" xfId="17418"/>
    <cellStyle name="Финансовый 2 3 2 4 8" xfId="1748"/>
    <cellStyle name="Финансовый 2 3 2 4 9" xfId="3123"/>
    <cellStyle name="Финансовый 2 3 2 5" xfId="498"/>
    <cellStyle name="Финансовый 2 3 2 5 2" xfId="3124"/>
    <cellStyle name="Финансовый 2 3 2 5 3" xfId="2880"/>
    <cellStyle name="Финансовый 2 3 2 6" xfId="17419"/>
    <cellStyle name="Финансовый 2 3 3" xfId="499"/>
    <cellStyle name="Финансовый 2 3 3 2" xfId="500"/>
    <cellStyle name="Финансовый 2 3 3 2 2" xfId="810"/>
    <cellStyle name="Финансовый 2 3 3 2 2 2" xfId="1932"/>
    <cellStyle name="Финансовый 2 3 3 2 2 2 2" xfId="4470"/>
    <cellStyle name="Финансовый 2 3 3 2 2 2 2 2" xfId="9588"/>
    <cellStyle name="Финансовый 2 3 3 2 2 2 2 2 2" xfId="17420"/>
    <cellStyle name="Финансовый 2 3 3 2 2 2 2 3" xfId="17421"/>
    <cellStyle name="Финансовый 2 3 3 2 2 2 3" xfId="7532"/>
    <cellStyle name="Финансовый 2 3 3 2 2 2 3 2" xfId="17422"/>
    <cellStyle name="Финансовый 2 3 3 2 2 2 4" xfId="17423"/>
    <cellStyle name="Финансовый 2 3 3 2 2 3" xfId="3442"/>
    <cellStyle name="Финансовый 2 3 3 2 2 3 2" xfId="8560"/>
    <cellStyle name="Финансовый 2 3 3 2 2 3 2 2" xfId="17424"/>
    <cellStyle name="Финансовый 2 3 3 2 2 3 3" xfId="17425"/>
    <cellStyle name="Финансовый 2 3 3 2 2 4" xfId="6504"/>
    <cellStyle name="Финансовый 2 3 3 2 2 4 2" xfId="17426"/>
    <cellStyle name="Финансовый 2 3 3 2 2 5" xfId="17427"/>
    <cellStyle name="Финансовый 2 3 3 2 2 6" xfId="17428"/>
    <cellStyle name="Финансовый 2 3 3 2 3" xfId="986"/>
    <cellStyle name="Финансовый 2 3 3 2 3 2" xfId="2105"/>
    <cellStyle name="Финансовый 2 3 3 2 3 2 2" xfId="4643"/>
    <cellStyle name="Финансовый 2 3 3 2 3 2 2 2" xfId="9761"/>
    <cellStyle name="Финансовый 2 3 3 2 3 2 2 2 2" xfId="17429"/>
    <cellStyle name="Финансовый 2 3 3 2 3 2 2 3" xfId="17430"/>
    <cellStyle name="Финансовый 2 3 3 2 3 2 3" xfId="7705"/>
    <cellStyle name="Финансовый 2 3 3 2 3 2 3 2" xfId="17431"/>
    <cellStyle name="Финансовый 2 3 3 2 3 2 4" xfId="17432"/>
    <cellStyle name="Финансовый 2 3 3 2 3 3" xfId="3615"/>
    <cellStyle name="Финансовый 2 3 3 2 3 3 2" xfId="8733"/>
    <cellStyle name="Финансовый 2 3 3 2 3 3 2 2" xfId="17433"/>
    <cellStyle name="Финансовый 2 3 3 2 3 3 3" xfId="17434"/>
    <cellStyle name="Финансовый 2 3 3 2 3 4" xfId="6677"/>
    <cellStyle name="Финансовый 2 3 3 2 3 4 2" xfId="17435"/>
    <cellStyle name="Финансовый 2 3 3 2 3 5" xfId="17436"/>
    <cellStyle name="Финансовый 2 3 3 2 4" xfId="1157"/>
    <cellStyle name="Финансовый 2 3 3 2 4 2" xfId="2276"/>
    <cellStyle name="Финансовый 2 3 3 2 4 2 2" xfId="4814"/>
    <cellStyle name="Финансовый 2 3 3 2 4 2 2 2" xfId="9932"/>
    <cellStyle name="Финансовый 2 3 3 2 4 2 2 2 2" xfId="17437"/>
    <cellStyle name="Финансовый 2 3 3 2 4 2 2 3" xfId="17438"/>
    <cellStyle name="Финансовый 2 3 3 2 4 2 3" xfId="7876"/>
    <cellStyle name="Финансовый 2 3 3 2 4 2 3 2" xfId="17439"/>
    <cellStyle name="Финансовый 2 3 3 2 4 2 4" xfId="17440"/>
    <cellStyle name="Финансовый 2 3 3 2 4 3" xfId="3786"/>
    <cellStyle name="Финансовый 2 3 3 2 4 3 2" xfId="8904"/>
    <cellStyle name="Финансовый 2 3 3 2 4 3 2 2" xfId="17441"/>
    <cellStyle name="Финансовый 2 3 3 2 4 3 3" xfId="17442"/>
    <cellStyle name="Финансовый 2 3 3 2 4 4" xfId="6848"/>
    <cellStyle name="Финансовый 2 3 3 2 4 4 2" xfId="17443"/>
    <cellStyle name="Финансовый 2 3 3 2 4 5" xfId="17444"/>
    <cellStyle name="Финансовый 2 3 3 2 5" xfId="1341"/>
    <cellStyle name="Финансовый 2 3 3 2 5 2" xfId="2447"/>
    <cellStyle name="Финансовый 2 3 3 2 5 2 2" xfId="4985"/>
    <cellStyle name="Финансовый 2 3 3 2 5 2 2 2" xfId="10103"/>
    <cellStyle name="Финансовый 2 3 3 2 5 2 2 2 2" xfId="17445"/>
    <cellStyle name="Финансовый 2 3 3 2 5 2 2 3" xfId="17446"/>
    <cellStyle name="Финансовый 2 3 3 2 5 2 3" xfId="8047"/>
    <cellStyle name="Финансовый 2 3 3 2 5 2 3 2" xfId="17447"/>
    <cellStyle name="Финансовый 2 3 3 2 5 2 4" xfId="17448"/>
    <cellStyle name="Финансовый 2 3 3 2 5 3" xfId="3957"/>
    <cellStyle name="Финансовый 2 3 3 2 5 3 2" xfId="9075"/>
    <cellStyle name="Финансовый 2 3 3 2 5 3 2 2" xfId="17449"/>
    <cellStyle name="Финансовый 2 3 3 2 5 3 3" xfId="17450"/>
    <cellStyle name="Финансовый 2 3 3 2 5 4" xfId="7019"/>
    <cellStyle name="Финансовый 2 3 3 2 5 4 2" xfId="17451"/>
    <cellStyle name="Финансовый 2 3 3 2 5 5" xfId="17452"/>
    <cellStyle name="Финансовый 2 3 3 2 6" xfId="1512"/>
    <cellStyle name="Финансовый 2 3 3 2 6 2" xfId="2618"/>
    <cellStyle name="Финансовый 2 3 3 2 6 2 2" xfId="5156"/>
    <cellStyle name="Финансовый 2 3 3 2 6 2 2 2" xfId="10274"/>
    <cellStyle name="Финансовый 2 3 3 2 6 2 2 2 2" xfId="17453"/>
    <cellStyle name="Финансовый 2 3 3 2 6 2 2 3" xfId="17454"/>
    <cellStyle name="Финансовый 2 3 3 2 6 2 3" xfId="8218"/>
    <cellStyle name="Финансовый 2 3 3 2 6 2 3 2" xfId="17455"/>
    <cellStyle name="Финансовый 2 3 3 2 6 2 4" xfId="17456"/>
    <cellStyle name="Финансовый 2 3 3 2 6 3" xfId="4128"/>
    <cellStyle name="Финансовый 2 3 3 2 6 3 2" xfId="9246"/>
    <cellStyle name="Финансовый 2 3 3 2 6 3 2 2" xfId="17457"/>
    <cellStyle name="Финансовый 2 3 3 2 6 3 3" xfId="17458"/>
    <cellStyle name="Финансовый 2 3 3 2 6 4" xfId="7190"/>
    <cellStyle name="Финансовый 2 3 3 2 6 4 2" xfId="17459"/>
    <cellStyle name="Финансовый 2 3 3 2 6 5" xfId="17460"/>
    <cellStyle name="Финансовый 2 3 3 2 7" xfId="1683"/>
    <cellStyle name="Финансовый 2 3 3 2 7 2" xfId="2789"/>
    <cellStyle name="Финансовый 2 3 3 2 7 2 2" xfId="5327"/>
    <cellStyle name="Финансовый 2 3 3 2 7 2 2 2" xfId="10445"/>
    <cellStyle name="Финансовый 2 3 3 2 7 2 2 2 2" xfId="17461"/>
    <cellStyle name="Финансовый 2 3 3 2 7 2 2 3" xfId="17462"/>
    <cellStyle name="Финансовый 2 3 3 2 7 2 3" xfId="8389"/>
    <cellStyle name="Финансовый 2 3 3 2 7 2 3 2" xfId="17463"/>
    <cellStyle name="Финансовый 2 3 3 2 7 2 4" xfId="17464"/>
    <cellStyle name="Финансовый 2 3 3 2 7 3" xfId="4299"/>
    <cellStyle name="Финансовый 2 3 3 2 7 3 2" xfId="9417"/>
    <cellStyle name="Финансовый 2 3 3 2 7 3 2 2" xfId="17465"/>
    <cellStyle name="Финансовый 2 3 3 2 7 3 3" xfId="17466"/>
    <cellStyle name="Финансовый 2 3 3 2 7 4" xfId="7361"/>
    <cellStyle name="Финансовый 2 3 3 2 7 4 2" xfId="17467"/>
    <cellStyle name="Финансовый 2 3 3 2 7 5" xfId="17468"/>
    <cellStyle name="Финансовый 2 3 3 2 8" xfId="1749"/>
    <cellStyle name="Финансовый 2 3 3 2 9" xfId="3125"/>
    <cellStyle name="Финансовый 2 3 3 3" xfId="501"/>
    <cellStyle name="Финансовый 2 3 3 3 2" xfId="3126"/>
    <cellStyle name="Финансовый 2 3 3 3 3" xfId="2883"/>
    <cellStyle name="Финансовый 2 3 3 4" xfId="17469"/>
    <cellStyle name="Финансовый 2 3 4" xfId="502"/>
    <cellStyle name="Финансовый 2 3 4 2" xfId="503"/>
    <cellStyle name="Финансовый 2 3 4 2 2" xfId="811"/>
    <cellStyle name="Финансовый 2 3 4 2 2 2" xfId="1933"/>
    <cellStyle name="Финансовый 2 3 4 2 2 2 2" xfId="4471"/>
    <cellStyle name="Финансовый 2 3 4 2 2 2 2 2" xfId="9589"/>
    <cellStyle name="Финансовый 2 3 4 2 2 2 2 2 2" xfId="17470"/>
    <cellStyle name="Финансовый 2 3 4 2 2 2 2 3" xfId="17471"/>
    <cellStyle name="Финансовый 2 3 4 2 2 2 3" xfId="7533"/>
    <cellStyle name="Финансовый 2 3 4 2 2 2 3 2" xfId="17472"/>
    <cellStyle name="Финансовый 2 3 4 2 2 2 4" xfId="17473"/>
    <cellStyle name="Финансовый 2 3 4 2 2 3" xfId="3443"/>
    <cellStyle name="Финансовый 2 3 4 2 2 3 2" xfId="8561"/>
    <cellStyle name="Финансовый 2 3 4 2 2 3 2 2" xfId="17474"/>
    <cellStyle name="Финансовый 2 3 4 2 2 3 3" xfId="17475"/>
    <cellStyle name="Финансовый 2 3 4 2 2 4" xfId="6505"/>
    <cellStyle name="Финансовый 2 3 4 2 2 4 2" xfId="17476"/>
    <cellStyle name="Финансовый 2 3 4 2 2 5" xfId="17477"/>
    <cellStyle name="Финансовый 2 3 4 2 2 6" xfId="17478"/>
    <cellStyle name="Финансовый 2 3 4 2 3" xfId="987"/>
    <cellStyle name="Финансовый 2 3 4 2 3 2" xfId="2106"/>
    <cellStyle name="Финансовый 2 3 4 2 3 2 2" xfId="4644"/>
    <cellStyle name="Финансовый 2 3 4 2 3 2 2 2" xfId="9762"/>
    <cellStyle name="Финансовый 2 3 4 2 3 2 2 2 2" xfId="17479"/>
    <cellStyle name="Финансовый 2 3 4 2 3 2 2 3" xfId="17480"/>
    <cellStyle name="Финансовый 2 3 4 2 3 2 3" xfId="7706"/>
    <cellStyle name="Финансовый 2 3 4 2 3 2 3 2" xfId="17481"/>
    <cellStyle name="Финансовый 2 3 4 2 3 2 4" xfId="17482"/>
    <cellStyle name="Финансовый 2 3 4 2 3 3" xfId="3616"/>
    <cellStyle name="Финансовый 2 3 4 2 3 3 2" xfId="8734"/>
    <cellStyle name="Финансовый 2 3 4 2 3 3 2 2" xfId="17483"/>
    <cellStyle name="Финансовый 2 3 4 2 3 3 3" xfId="17484"/>
    <cellStyle name="Финансовый 2 3 4 2 3 4" xfId="6678"/>
    <cellStyle name="Финансовый 2 3 4 2 3 4 2" xfId="17485"/>
    <cellStyle name="Финансовый 2 3 4 2 3 5" xfId="17486"/>
    <cellStyle name="Финансовый 2 3 4 2 4" xfId="1158"/>
    <cellStyle name="Финансовый 2 3 4 2 4 2" xfId="2277"/>
    <cellStyle name="Финансовый 2 3 4 2 4 2 2" xfId="4815"/>
    <cellStyle name="Финансовый 2 3 4 2 4 2 2 2" xfId="9933"/>
    <cellStyle name="Финансовый 2 3 4 2 4 2 2 2 2" xfId="17487"/>
    <cellStyle name="Финансовый 2 3 4 2 4 2 2 3" xfId="17488"/>
    <cellStyle name="Финансовый 2 3 4 2 4 2 3" xfId="7877"/>
    <cellStyle name="Финансовый 2 3 4 2 4 2 3 2" xfId="17489"/>
    <cellStyle name="Финансовый 2 3 4 2 4 2 4" xfId="17490"/>
    <cellStyle name="Финансовый 2 3 4 2 4 3" xfId="3787"/>
    <cellStyle name="Финансовый 2 3 4 2 4 3 2" xfId="8905"/>
    <cellStyle name="Финансовый 2 3 4 2 4 3 2 2" xfId="17491"/>
    <cellStyle name="Финансовый 2 3 4 2 4 3 3" xfId="17492"/>
    <cellStyle name="Финансовый 2 3 4 2 4 4" xfId="6849"/>
    <cellStyle name="Финансовый 2 3 4 2 4 4 2" xfId="17493"/>
    <cellStyle name="Финансовый 2 3 4 2 4 5" xfId="17494"/>
    <cellStyle name="Финансовый 2 3 4 2 5" xfId="1342"/>
    <cellStyle name="Финансовый 2 3 4 2 5 2" xfId="2448"/>
    <cellStyle name="Финансовый 2 3 4 2 5 2 2" xfId="4986"/>
    <cellStyle name="Финансовый 2 3 4 2 5 2 2 2" xfId="10104"/>
    <cellStyle name="Финансовый 2 3 4 2 5 2 2 2 2" xfId="17495"/>
    <cellStyle name="Финансовый 2 3 4 2 5 2 2 3" xfId="17496"/>
    <cellStyle name="Финансовый 2 3 4 2 5 2 3" xfId="8048"/>
    <cellStyle name="Финансовый 2 3 4 2 5 2 3 2" xfId="17497"/>
    <cellStyle name="Финансовый 2 3 4 2 5 2 4" xfId="17498"/>
    <cellStyle name="Финансовый 2 3 4 2 5 3" xfId="3958"/>
    <cellStyle name="Финансовый 2 3 4 2 5 3 2" xfId="9076"/>
    <cellStyle name="Финансовый 2 3 4 2 5 3 2 2" xfId="17499"/>
    <cellStyle name="Финансовый 2 3 4 2 5 3 3" xfId="17500"/>
    <cellStyle name="Финансовый 2 3 4 2 5 4" xfId="7020"/>
    <cellStyle name="Финансовый 2 3 4 2 5 4 2" xfId="17501"/>
    <cellStyle name="Финансовый 2 3 4 2 5 5" xfId="17502"/>
    <cellStyle name="Финансовый 2 3 4 2 6" xfId="1513"/>
    <cellStyle name="Финансовый 2 3 4 2 6 2" xfId="2619"/>
    <cellStyle name="Финансовый 2 3 4 2 6 2 2" xfId="5157"/>
    <cellStyle name="Финансовый 2 3 4 2 6 2 2 2" xfId="10275"/>
    <cellStyle name="Финансовый 2 3 4 2 6 2 2 2 2" xfId="17503"/>
    <cellStyle name="Финансовый 2 3 4 2 6 2 2 3" xfId="17504"/>
    <cellStyle name="Финансовый 2 3 4 2 6 2 3" xfId="8219"/>
    <cellStyle name="Финансовый 2 3 4 2 6 2 3 2" xfId="17505"/>
    <cellStyle name="Финансовый 2 3 4 2 6 2 4" xfId="17506"/>
    <cellStyle name="Финансовый 2 3 4 2 6 3" xfId="4129"/>
    <cellStyle name="Финансовый 2 3 4 2 6 3 2" xfId="9247"/>
    <cellStyle name="Финансовый 2 3 4 2 6 3 2 2" xfId="17507"/>
    <cellStyle name="Финансовый 2 3 4 2 6 3 3" xfId="17508"/>
    <cellStyle name="Финансовый 2 3 4 2 6 4" xfId="7191"/>
    <cellStyle name="Финансовый 2 3 4 2 6 4 2" xfId="17509"/>
    <cellStyle name="Финансовый 2 3 4 2 6 5" xfId="17510"/>
    <cellStyle name="Финансовый 2 3 4 2 7" xfId="1684"/>
    <cellStyle name="Финансовый 2 3 4 2 7 2" xfId="2790"/>
    <cellStyle name="Финансовый 2 3 4 2 7 2 2" xfId="5328"/>
    <cellStyle name="Финансовый 2 3 4 2 7 2 2 2" xfId="10446"/>
    <cellStyle name="Финансовый 2 3 4 2 7 2 2 2 2" xfId="17511"/>
    <cellStyle name="Финансовый 2 3 4 2 7 2 2 3" xfId="17512"/>
    <cellStyle name="Финансовый 2 3 4 2 7 2 3" xfId="8390"/>
    <cellStyle name="Финансовый 2 3 4 2 7 2 3 2" xfId="17513"/>
    <cellStyle name="Финансовый 2 3 4 2 7 2 4" xfId="17514"/>
    <cellStyle name="Финансовый 2 3 4 2 7 3" xfId="4300"/>
    <cellStyle name="Финансовый 2 3 4 2 7 3 2" xfId="9418"/>
    <cellStyle name="Финансовый 2 3 4 2 7 3 2 2" xfId="17515"/>
    <cellStyle name="Финансовый 2 3 4 2 7 3 3" xfId="17516"/>
    <cellStyle name="Финансовый 2 3 4 2 7 4" xfId="7362"/>
    <cellStyle name="Финансовый 2 3 4 2 7 4 2" xfId="17517"/>
    <cellStyle name="Финансовый 2 3 4 2 7 5" xfId="17518"/>
    <cellStyle name="Финансовый 2 3 4 2 8" xfId="1750"/>
    <cellStyle name="Финансовый 2 3 4 2 9" xfId="3127"/>
    <cellStyle name="Финансовый 2 3 4 3" xfId="504"/>
    <cellStyle name="Финансовый 2 3 4 3 2" xfId="3128"/>
    <cellStyle name="Финансовый 2 3 4 3 3" xfId="2884"/>
    <cellStyle name="Финансовый 2 3 4 4" xfId="17519"/>
    <cellStyle name="Финансовый 2 3 5" xfId="505"/>
    <cellStyle name="Финансовый 2 3 5 2" xfId="812"/>
    <cellStyle name="Финансовый 2 3 5 2 2" xfId="1934"/>
    <cellStyle name="Финансовый 2 3 5 2 2 2" xfId="4472"/>
    <cellStyle name="Финансовый 2 3 5 2 2 2 2" xfId="9590"/>
    <cellStyle name="Финансовый 2 3 5 2 2 2 2 2" xfId="17520"/>
    <cellStyle name="Финансовый 2 3 5 2 2 2 3" xfId="17521"/>
    <cellStyle name="Финансовый 2 3 5 2 2 3" xfId="7534"/>
    <cellStyle name="Финансовый 2 3 5 2 2 3 2" xfId="17522"/>
    <cellStyle name="Финансовый 2 3 5 2 2 4" xfId="17523"/>
    <cellStyle name="Финансовый 2 3 5 2 3" xfId="3444"/>
    <cellStyle name="Финансовый 2 3 5 2 3 2" xfId="8562"/>
    <cellStyle name="Финансовый 2 3 5 2 3 2 2" xfId="17524"/>
    <cellStyle name="Финансовый 2 3 5 2 3 3" xfId="17525"/>
    <cellStyle name="Финансовый 2 3 5 2 4" xfId="6506"/>
    <cellStyle name="Финансовый 2 3 5 2 4 2" xfId="17526"/>
    <cellStyle name="Финансовый 2 3 5 2 5" xfId="17527"/>
    <cellStyle name="Финансовый 2 3 5 2 6" xfId="17528"/>
    <cellStyle name="Финансовый 2 3 5 3" xfId="988"/>
    <cellStyle name="Финансовый 2 3 5 3 2" xfId="2107"/>
    <cellStyle name="Финансовый 2 3 5 3 2 2" xfId="4645"/>
    <cellStyle name="Финансовый 2 3 5 3 2 2 2" xfId="9763"/>
    <cellStyle name="Финансовый 2 3 5 3 2 2 2 2" xfId="17529"/>
    <cellStyle name="Финансовый 2 3 5 3 2 2 3" xfId="17530"/>
    <cellStyle name="Финансовый 2 3 5 3 2 3" xfId="7707"/>
    <cellStyle name="Финансовый 2 3 5 3 2 3 2" xfId="17531"/>
    <cellStyle name="Финансовый 2 3 5 3 2 4" xfId="17532"/>
    <cellStyle name="Финансовый 2 3 5 3 3" xfId="3617"/>
    <cellStyle name="Финансовый 2 3 5 3 3 2" xfId="8735"/>
    <cellStyle name="Финансовый 2 3 5 3 3 2 2" xfId="17533"/>
    <cellStyle name="Финансовый 2 3 5 3 3 3" xfId="17534"/>
    <cellStyle name="Финансовый 2 3 5 3 4" xfId="6679"/>
    <cellStyle name="Финансовый 2 3 5 3 4 2" xfId="17535"/>
    <cellStyle name="Финансовый 2 3 5 3 5" xfId="17536"/>
    <cellStyle name="Финансовый 2 3 5 4" xfId="1159"/>
    <cellStyle name="Финансовый 2 3 5 4 2" xfId="2278"/>
    <cellStyle name="Финансовый 2 3 5 4 2 2" xfId="4816"/>
    <cellStyle name="Финансовый 2 3 5 4 2 2 2" xfId="9934"/>
    <cellStyle name="Финансовый 2 3 5 4 2 2 2 2" xfId="17537"/>
    <cellStyle name="Финансовый 2 3 5 4 2 2 3" xfId="17538"/>
    <cellStyle name="Финансовый 2 3 5 4 2 3" xfId="7878"/>
    <cellStyle name="Финансовый 2 3 5 4 2 3 2" xfId="17539"/>
    <cellStyle name="Финансовый 2 3 5 4 2 4" xfId="17540"/>
    <cellStyle name="Финансовый 2 3 5 4 3" xfId="3788"/>
    <cellStyle name="Финансовый 2 3 5 4 3 2" xfId="8906"/>
    <cellStyle name="Финансовый 2 3 5 4 3 2 2" xfId="17541"/>
    <cellStyle name="Финансовый 2 3 5 4 3 3" xfId="17542"/>
    <cellStyle name="Финансовый 2 3 5 4 4" xfId="6850"/>
    <cellStyle name="Финансовый 2 3 5 4 4 2" xfId="17543"/>
    <cellStyle name="Финансовый 2 3 5 4 5" xfId="17544"/>
    <cellStyle name="Финансовый 2 3 5 5" xfId="1343"/>
    <cellStyle name="Финансовый 2 3 5 5 2" xfId="2449"/>
    <cellStyle name="Финансовый 2 3 5 5 2 2" xfId="4987"/>
    <cellStyle name="Финансовый 2 3 5 5 2 2 2" xfId="10105"/>
    <cellStyle name="Финансовый 2 3 5 5 2 2 2 2" xfId="17545"/>
    <cellStyle name="Финансовый 2 3 5 5 2 2 3" xfId="17546"/>
    <cellStyle name="Финансовый 2 3 5 5 2 3" xfId="8049"/>
    <cellStyle name="Финансовый 2 3 5 5 2 3 2" xfId="17547"/>
    <cellStyle name="Финансовый 2 3 5 5 2 4" xfId="17548"/>
    <cellStyle name="Финансовый 2 3 5 5 3" xfId="3959"/>
    <cellStyle name="Финансовый 2 3 5 5 3 2" xfId="9077"/>
    <cellStyle name="Финансовый 2 3 5 5 3 2 2" xfId="17549"/>
    <cellStyle name="Финансовый 2 3 5 5 3 3" xfId="17550"/>
    <cellStyle name="Финансовый 2 3 5 5 4" xfId="7021"/>
    <cellStyle name="Финансовый 2 3 5 5 4 2" xfId="17551"/>
    <cellStyle name="Финансовый 2 3 5 5 5" xfId="17552"/>
    <cellStyle name="Финансовый 2 3 5 6" xfId="1514"/>
    <cellStyle name="Финансовый 2 3 5 6 2" xfId="2620"/>
    <cellStyle name="Финансовый 2 3 5 6 2 2" xfId="5158"/>
    <cellStyle name="Финансовый 2 3 5 6 2 2 2" xfId="10276"/>
    <cellStyle name="Финансовый 2 3 5 6 2 2 2 2" xfId="17553"/>
    <cellStyle name="Финансовый 2 3 5 6 2 2 3" xfId="17554"/>
    <cellStyle name="Финансовый 2 3 5 6 2 3" xfId="8220"/>
    <cellStyle name="Финансовый 2 3 5 6 2 3 2" xfId="17555"/>
    <cellStyle name="Финансовый 2 3 5 6 2 4" xfId="17556"/>
    <cellStyle name="Финансовый 2 3 5 6 3" xfId="4130"/>
    <cellStyle name="Финансовый 2 3 5 6 3 2" xfId="9248"/>
    <cellStyle name="Финансовый 2 3 5 6 3 2 2" xfId="17557"/>
    <cellStyle name="Финансовый 2 3 5 6 3 3" xfId="17558"/>
    <cellStyle name="Финансовый 2 3 5 6 4" xfId="7192"/>
    <cellStyle name="Финансовый 2 3 5 6 4 2" xfId="17559"/>
    <cellStyle name="Финансовый 2 3 5 6 5" xfId="17560"/>
    <cellStyle name="Финансовый 2 3 5 7" xfId="1685"/>
    <cellStyle name="Финансовый 2 3 5 7 2" xfId="2791"/>
    <cellStyle name="Финансовый 2 3 5 7 2 2" xfId="5329"/>
    <cellStyle name="Финансовый 2 3 5 7 2 2 2" xfId="10447"/>
    <cellStyle name="Финансовый 2 3 5 7 2 2 2 2" xfId="17561"/>
    <cellStyle name="Финансовый 2 3 5 7 2 2 3" xfId="17562"/>
    <cellStyle name="Финансовый 2 3 5 7 2 3" xfId="8391"/>
    <cellStyle name="Финансовый 2 3 5 7 2 3 2" xfId="17563"/>
    <cellStyle name="Финансовый 2 3 5 7 2 4" xfId="17564"/>
    <cellStyle name="Финансовый 2 3 5 7 3" xfId="4301"/>
    <cellStyle name="Финансовый 2 3 5 7 3 2" xfId="9419"/>
    <cellStyle name="Финансовый 2 3 5 7 3 2 2" xfId="17565"/>
    <cellStyle name="Финансовый 2 3 5 7 3 3" xfId="17566"/>
    <cellStyle name="Финансовый 2 3 5 7 4" xfId="7363"/>
    <cellStyle name="Финансовый 2 3 5 7 4 2" xfId="17567"/>
    <cellStyle name="Финансовый 2 3 5 7 5" xfId="17568"/>
    <cellStyle name="Финансовый 2 3 5 8" xfId="1751"/>
    <cellStyle name="Финансовый 2 3 5 9" xfId="3129"/>
    <cellStyle name="Финансовый 2 3 6" xfId="506"/>
    <cellStyle name="Финансовый 2 3 6 2" xfId="3130"/>
    <cellStyle name="Финансовый 2 3 6 3" xfId="2879"/>
    <cellStyle name="Финансовый 2 3 7" xfId="17569"/>
    <cellStyle name="Финансовый 2 4" xfId="507"/>
    <cellStyle name="Финансовый 2 4 2" xfId="508"/>
    <cellStyle name="Финансовый 2 4 2 2" xfId="509"/>
    <cellStyle name="Финансовый 2 4 2 2 2" xfId="813"/>
    <cellStyle name="Финансовый 2 4 2 2 2 2" xfId="1935"/>
    <cellStyle name="Финансовый 2 4 2 2 2 2 2" xfId="4473"/>
    <cellStyle name="Финансовый 2 4 2 2 2 2 2 2" xfId="9591"/>
    <cellStyle name="Финансовый 2 4 2 2 2 2 2 2 2" xfId="17570"/>
    <cellStyle name="Финансовый 2 4 2 2 2 2 2 3" xfId="17571"/>
    <cellStyle name="Финансовый 2 4 2 2 2 2 3" xfId="7535"/>
    <cellStyle name="Финансовый 2 4 2 2 2 2 3 2" xfId="17572"/>
    <cellStyle name="Финансовый 2 4 2 2 2 2 4" xfId="17573"/>
    <cellStyle name="Финансовый 2 4 2 2 2 3" xfId="3445"/>
    <cellStyle name="Финансовый 2 4 2 2 2 3 2" xfId="8563"/>
    <cellStyle name="Финансовый 2 4 2 2 2 3 2 2" xfId="17574"/>
    <cellStyle name="Финансовый 2 4 2 2 2 3 3" xfId="17575"/>
    <cellStyle name="Финансовый 2 4 2 2 2 4" xfId="6507"/>
    <cellStyle name="Финансовый 2 4 2 2 2 4 2" xfId="17576"/>
    <cellStyle name="Финансовый 2 4 2 2 2 5" xfId="17577"/>
    <cellStyle name="Финансовый 2 4 2 2 2 6" xfId="17578"/>
    <cellStyle name="Финансовый 2 4 2 2 3" xfId="989"/>
    <cellStyle name="Финансовый 2 4 2 2 3 2" xfId="2108"/>
    <cellStyle name="Финансовый 2 4 2 2 3 2 2" xfId="4646"/>
    <cellStyle name="Финансовый 2 4 2 2 3 2 2 2" xfId="9764"/>
    <cellStyle name="Финансовый 2 4 2 2 3 2 2 2 2" xfId="17579"/>
    <cellStyle name="Финансовый 2 4 2 2 3 2 2 3" xfId="17580"/>
    <cellStyle name="Финансовый 2 4 2 2 3 2 3" xfId="7708"/>
    <cellStyle name="Финансовый 2 4 2 2 3 2 3 2" xfId="17581"/>
    <cellStyle name="Финансовый 2 4 2 2 3 2 4" xfId="17582"/>
    <cellStyle name="Финансовый 2 4 2 2 3 3" xfId="3618"/>
    <cellStyle name="Финансовый 2 4 2 2 3 3 2" xfId="8736"/>
    <cellStyle name="Финансовый 2 4 2 2 3 3 2 2" xfId="17583"/>
    <cellStyle name="Финансовый 2 4 2 2 3 3 3" xfId="17584"/>
    <cellStyle name="Финансовый 2 4 2 2 3 4" xfId="6680"/>
    <cellStyle name="Финансовый 2 4 2 2 3 4 2" xfId="17585"/>
    <cellStyle name="Финансовый 2 4 2 2 3 5" xfId="17586"/>
    <cellStyle name="Финансовый 2 4 2 2 4" xfId="1160"/>
    <cellStyle name="Финансовый 2 4 2 2 4 2" xfId="2279"/>
    <cellStyle name="Финансовый 2 4 2 2 4 2 2" xfId="4817"/>
    <cellStyle name="Финансовый 2 4 2 2 4 2 2 2" xfId="9935"/>
    <cellStyle name="Финансовый 2 4 2 2 4 2 2 2 2" xfId="17587"/>
    <cellStyle name="Финансовый 2 4 2 2 4 2 2 3" xfId="17588"/>
    <cellStyle name="Финансовый 2 4 2 2 4 2 3" xfId="7879"/>
    <cellStyle name="Финансовый 2 4 2 2 4 2 3 2" xfId="17589"/>
    <cellStyle name="Финансовый 2 4 2 2 4 2 4" xfId="17590"/>
    <cellStyle name="Финансовый 2 4 2 2 4 3" xfId="3789"/>
    <cellStyle name="Финансовый 2 4 2 2 4 3 2" xfId="8907"/>
    <cellStyle name="Финансовый 2 4 2 2 4 3 2 2" xfId="17591"/>
    <cellStyle name="Финансовый 2 4 2 2 4 3 3" xfId="17592"/>
    <cellStyle name="Финансовый 2 4 2 2 4 4" xfId="6851"/>
    <cellStyle name="Финансовый 2 4 2 2 4 4 2" xfId="17593"/>
    <cellStyle name="Финансовый 2 4 2 2 4 5" xfId="17594"/>
    <cellStyle name="Финансовый 2 4 2 2 5" xfId="1344"/>
    <cellStyle name="Финансовый 2 4 2 2 5 2" xfId="2450"/>
    <cellStyle name="Финансовый 2 4 2 2 5 2 2" xfId="4988"/>
    <cellStyle name="Финансовый 2 4 2 2 5 2 2 2" xfId="10106"/>
    <cellStyle name="Финансовый 2 4 2 2 5 2 2 2 2" xfId="17595"/>
    <cellStyle name="Финансовый 2 4 2 2 5 2 2 3" xfId="17596"/>
    <cellStyle name="Финансовый 2 4 2 2 5 2 3" xfId="8050"/>
    <cellStyle name="Финансовый 2 4 2 2 5 2 3 2" xfId="17597"/>
    <cellStyle name="Финансовый 2 4 2 2 5 2 4" xfId="17598"/>
    <cellStyle name="Финансовый 2 4 2 2 5 3" xfId="3960"/>
    <cellStyle name="Финансовый 2 4 2 2 5 3 2" xfId="9078"/>
    <cellStyle name="Финансовый 2 4 2 2 5 3 2 2" xfId="17599"/>
    <cellStyle name="Финансовый 2 4 2 2 5 3 3" xfId="17600"/>
    <cellStyle name="Финансовый 2 4 2 2 5 4" xfId="7022"/>
    <cellStyle name="Финансовый 2 4 2 2 5 4 2" xfId="17601"/>
    <cellStyle name="Финансовый 2 4 2 2 5 5" xfId="17602"/>
    <cellStyle name="Финансовый 2 4 2 2 6" xfId="1515"/>
    <cellStyle name="Финансовый 2 4 2 2 6 2" xfId="2621"/>
    <cellStyle name="Финансовый 2 4 2 2 6 2 2" xfId="5159"/>
    <cellStyle name="Финансовый 2 4 2 2 6 2 2 2" xfId="10277"/>
    <cellStyle name="Финансовый 2 4 2 2 6 2 2 2 2" xfId="17603"/>
    <cellStyle name="Финансовый 2 4 2 2 6 2 2 3" xfId="17604"/>
    <cellStyle name="Финансовый 2 4 2 2 6 2 3" xfId="8221"/>
    <cellStyle name="Финансовый 2 4 2 2 6 2 3 2" xfId="17605"/>
    <cellStyle name="Финансовый 2 4 2 2 6 2 4" xfId="17606"/>
    <cellStyle name="Финансовый 2 4 2 2 6 3" xfId="4131"/>
    <cellStyle name="Финансовый 2 4 2 2 6 3 2" xfId="9249"/>
    <cellStyle name="Финансовый 2 4 2 2 6 3 2 2" xfId="17607"/>
    <cellStyle name="Финансовый 2 4 2 2 6 3 3" xfId="17608"/>
    <cellStyle name="Финансовый 2 4 2 2 6 4" xfId="7193"/>
    <cellStyle name="Финансовый 2 4 2 2 6 4 2" xfId="17609"/>
    <cellStyle name="Финансовый 2 4 2 2 6 5" xfId="17610"/>
    <cellStyle name="Финансовый 2 4 2 2 7" xfId="1686"/>
    <cellStyle name="Финансовый 2 4 2 2 7 2" xfId="2792"/>
    <cellStyle name="Финансовый 2 4 2 2 7 2 2" xfId="5330"/>
    <cellStyle name="Финансовый 2 4 2 2 7 2 2 2" xfId="10448"/>
    <cellStyle name="Финансовый 2 4 2 2 7 2 2 2 2" xfId="17611"/>
    <cellStyle name="Финансовый 2 4 2 2 7 2 2 3" xfId="17612"/>
    <cellStyle name="Финансовый 2 4 2 2 7 2 3" xfId="8392"/>
    <cellStyle name="Финансовый 2 4 2 2 7 2 3 2" xfId="17613"/>
    <cellStyle name="Финансовый 2 4 2 2 7 2 4" xfId="17614"/>
    <cellStyle name="Финансовый 2 4 2 2 7 3" xfId="4302"/>
    <cellStyle name="Финансовый 2 4 2 2 7 3 2" xfId="9420"/>
    <cellStyle name="Финансовый 2 4 2 2 7 3 2 2" xfId="17615"/>
    <cellStyle name="Финансовый 2 4 2 2 7 3 3" xfId="17616"/>
    <cellStyle name="Финансовый 2 4 2 2 7 4" xfId="7364"/>
    <cellStyle name="Финансовый 2 4 2 2 7 4 2" xfId="17617"/>
    <cellStyle name="Финансовый 2 4 2 2 7 5" xfId="17618"/>
    <cellStyle name="Финансовый 2 4 2 2 8" xfId="1752"/>
    <cellStyle name="Финансовый 2 4 2 2 9" xfId="3131"/>
    <cellStyle name="Финансовый 2 4 2 3" xfId="510"/>
    <cellStyle name="Финансовый 2 4 2 3 2" xfId="3132"/>
    <cellStyle name="Финансовый 2 4 2 3 3" xfId="2886"/>
    <cellStyle name="Финансовый 2 4 2 4" xfId="17619"/>
    <cellStyle name="Финансовый 2 4 3" xfId="511"/>
    <cellStyle name="Финансовый 2 4 3 2" xfId="512"/>
    <cellStyle name="Финансовый 2 4 3 2 2" xfId="814"/>
    <cellStyle name="Финансовый 2 4 3 2 2 2" xfId="1936"/>
    <cellStyle name="Финансовый 2 4 3 2 2 2 2" xfId="4474"/>
    <cellStyle name="Финансовый 2 4 3 2 2 2 2 2" xfId="9592"/>
    <cellStyle name="Финансовый 2 4 3 2 2 2 2 2 2" xfId="17620"/>
    <cellStyle name="Финансовый 2 4 3 2 2 2 2 3" xfId="17621"/>
    <cellStyle name="Финансовый 2 4 3 2 2 2 3" xfId="7536"/>
    <cellStyle name="Финансовый 2 4 3 2 2 2 3 2" xfId="17622"/>
    <cellStyle name="Финансовый 2 4 3 2 2 2 4" xfId="17623"/>
    <cellStyle name="Финансовый 2 4 3 2 2 3" xfId="3446"/>
    <cellStyle name="Финансовый 2 4 3 2 2 3 2" xfId="8564"/>
    <cellStyle name="Финансовый 2 4 3 2 2 3 2 2" xfId="17624"/>
    <cellStyle name="Финансовый 2 4 3 2 2 3 3" xfId="17625"/>
    <cellStyle name="Финансовый 2 4 3 2 2 4" xfId="6508"/>
    <cellStyle name="Финансовый 2 4 3 2 2 4 2" xfId="17626"/>
    <cellStyle name="Финансовый 2 4 3 2 2 5" xfId="17627"/>
    <cellStyle name="Финансовый 2 4 3 2 2 6" xfId="17628"/>
    <cellStyle name="Финансовый 2 4 3 2 3" xfId="990"/>
    <cellStyle name="Финансовый 2 4 3 2 3 2" xfId="2109"/>
    <cellStyle name="Финансовый 2 4 3 2 3 2 2" xfId="4647"/>
    <cellStyle name="Финансовый 2 4 3 2 3 2 2 2" xfId="9765"/>
    <cellStyle name="Финансовый 2 4 3 2 3 2 2 2 2" xfId="17629"/>
    <cellStyle name="Финансовый 2 4 3 2 3 2 2 3" xfId="17630"/>
    <cellStyle name="Финансовый 2 4 3 2 3 2 3" xfId="7709"/>
    <cellStyle name="Финансовый 2 4 3 2 3 2 3 2" xfId="17631"/>
    <cellStyle name="Финансовый 2 4 3 2 3 2 4" xfId="17632"/>
    <cellStyle name="Финансовый 2 4 3 2 3 3" xfId="3619"/>
    <cellStyle name="Финансовый 2 4 3 2 3 3 2" xfId="8737"/>
    <cellStyle name="Финансовый 2 4 3 2 3 3 2 2" xfId="17633"/>
    <cellStyle name="Финансовый 2 4 3 2 3 3 3" xfId="17634"/>
    <cellStyle name="Финансовый 2 4 3 2 3 4" xfId="6681"/>
    <cellStyle name="Финансовый 2 4 3 2 3 4 2" xfId="17635"/>
    <cellStyle name="Финансовый 2 4 3 2 3 5" xfId="17636"/>
    <cellStyle name="Финансовый 2 4 3 2 4" xfId="1161"/>
    <cellStyle name="Финансовый 2 4 3 2 4 2" xfId="2280"/>
    <cellStyle name="Финансовый 2 4 3 2 4 2 2" xfId="4818"/>
    <cellStyle name="Финансовый 2 4 3 2 4 2 2 2" xfId="9936"/>
    <cellStyle name="Финансовый 2 4 3 2 4 2 2 2 2" xfId="17637"/>
    <cellStyle name="Финансовый 2 4 3 2 4 2 2 3" xfId="17638"/>
    <cellStyle name="Финансовый 2 4 3 2 4 2 3" xfId="7880"/>
    <cellStyle name="Финансовый 2 4 3 2 4 2 3 2" xfId="17639"/>
    <cellStyle name="Финансовый 2 4 3 2 4 2 4" xfId="17640"/>
    <cellStyle name="Финансовый 2 4 3 2 4 3" xfId="3790"/>
    <cellStyle name="Финансовый 2 4 3 2 4 3 2" xfId="8908"/>
    <cellStyle name="Финансовый 2 4 3 2 4 3 2 2" xfId="17641"/>
    <cellStyle name="Финансовый 2 4 3 2 4 3 3" xfId="17642"/>
    <cellStyle name="Финансовый 2 4 3 2 4 4" xfId="6852"/>
    <cellStyle name="Финансовый 2 4 3 2 4 4 2" xfId="17643"/>
    <cellStyle name="Финансовый 2 4 3 2 4 5" xfId="17644"/>
    <cellStyle name="Финансовый 2 4 3 2 5" xfId="1345"/>
    <cellStyle name="Финансовый 2 4 3 2 5 2" xfId="2451"/>
    <cellStyle name="Финансовый 2 4 3 2 5 2 2" xfId="4989"/>
    <cellStyle name="Финансовый 2 4 3 2 5 2 2 2" xfId="10107"/>
    <cellStyle name="Финансовый 2 4 3 2 5 2 2 2 2" xfId="17645"/>
    <cellStyle name="Финансовый 2 4 3 2 5 2 2 3" xfId="17646"/>
    <cellStyle name="Финансовый 2 4 3 2 5 2 3" xfId="8051"/>
    <cellStyle name="Финансовый 2 4 3 2 5 2 3 2" xfId="17647"/>
    <cellStyle name="Финансовый 2 4 3 2 5 2 4" xfId="17648"/>
    <cellStyle name="Финансовый 2 4 3 2 5 3" xfId="3961"/>
    <cellStyle name="Финансовый 2 4 3 2 5 3 2" xfId="9079"/>
    <cellStyle name="Финансовый 2 4 3 2 5 3 2 2" xfId="17649"/>
    <cellStyle name="Финансовый 2 4 3 2 5 3 3" xfId="17650"/>
    <cellStyle name="Финансовый 2 4 3 2 5 4" xfId="7023"/>
    <cellStyle name="Финансовый 2 4 3 2 5 4 2" xfId="17651"/>
    <cellStyle name="Финансовый 2 4 3 2 5 5" xfId="17652"/>
    <cellStyle name="Финансовый 2 4 3 2 6" xfId="1516"/>
    <cellStyle name="Финансовый 2 4 3 2 6 2" xfId="2622"/>
    <cellStyle name="Финансовый 2 4 3 2 6 2 2" xfId="5160"/>
    <cellStyle name="Финансовый 2 4 3 2 6 2 2 2" xfId="10278"/>
    <cellStyle name="Финансовый 2 4 3 2 6 2 2 2 2" xfId="17653"/>
    <cellStyle name="Финансовый 2 4 3 2 6 2 2 3" xfId="17654"/>
    <cellStyle name="Финансовый 2 4 3 2 6 2 3" xfId="8222"/>
    <cellStyle name="Финансовый 2 4 3 2 6 2 3 2" xfId="17655"/>
    <cellStyle name="Финансовый 2 4 3 2 6 2 4" xfId="17656"/>
    <cellStyle name="Финансовый 2 4 3 2 6 3" xfId="4132"/>
    <cellStyle name="Финансовый 2 4 3 2 6 3 2" xfId="9250"/>
    <cellStyle name="Финансовый 2 4 3 2 6 3 2 2" xfId="17657"/>
    <cellStyle name="Финансовый 2 4 3 2 6 3 3" xfId="17658"/>
    <cellStyle name="Финансовый 2 4 3 2 6 4" xfId="7194"/>
    <cellStyle name="Финансовый 2 4 3 2 6 4 2" xfId="17659"/>
    <cellStyle name="Финансовый 2 4 3 2 6 5" xfId="17660"/>
    <cellStyle name="Финансовый 2 4 3 2 7" xfId="1687"/>
    <cellStyle name="Финансовый 2 4 3 2 7 2" xfId="2793"/>
    <cellStyle name="Финансовый 2 4 3 2 7 2 2" xfId="5331"/>
    <cellStyle name="Финансовый 2 4 3 2 7 2 2 2" xfId="10449"/>
    <cellStyle name="Финансовый 2 4 3 2 7 2 2 2 2" xfId="17661"/>
    <cellStyle name="Финансовый 2 4 3 2 7 2 2 3" xfId="17662"/>
    <cellStyle name="Финансовый 2 4 3 2 7 2 3" xfId="8393"/>
    <cellStyle name="Финансовый 2 4 3 2 7 2 3 2" xfId="17663"/>
    <cellStyle name="Финансовый 2 4 3 2 7 2 4" xfId="17664"/>
    <cellStyle name="Финансовый 2 4 3 2 7 3" xfId="4303"/>
    <cellStyle name="Финансовый 2 4 3 2 7 3 2" xfId="9421"/>
    <cellStyle name="Финансовый 2 4 3 2 7 3 2 2" xfId="17665"/>
    <cellStyle name="Финансовый 2 4 3 2 7 3 3" xfId="17666"/>
    <cellStyle name="Финансовый 2 4 3 2 7 4" xfId="7365"/>
    <cellStyle name="Финансовый 2 4 3 2 7 4 2" xfId="17667"/>
    <cellStyle name="Финансовый 2 4 3 2 7 5" xfId="17668"/>
    <cellStyle name="Финансовый 2 4 3 2 8" xfId="1753"/>
    <cellStyle name="Финансовый 2 4 3 2 9" xfId="3133"/>
    <cellStyle name="Финансовый 2 4 3 3" xfId="513"/>
    <cellStyle name="Финансовый 2 4 3 3 2" xfId="3134"/>
    <cellStyle name="Финансовый 2 4 3 3 3" xfId="2887"/>
    <cellStyle name="Финансовый 2 4 3 4" xfId="17669"/>
    <cellStyle name="Финансовый 2 4 4" xfId="514"/>
    <cellStyle name="Финансовый 2 4 4 2" xfId="815"/>
    <cellStyle name="Финансовый 2 4 4 2 2" xfId="1937"/>
    <cellStyle name="Финансовый 2 4 4 2 2 2" xfId="4475"/>
    <cellStyle name="Финансовый 2 4 4 2 2 2 2" xfId="9593"/>
    <cellStyle name="Финансовый 2 4 4 2 2 2 2 2" xfId="17670"/>
    <cellStyle name="Финансовый 2 4 4 2 2 2 3" xfId="17671"/>
    <cellStyle name="Финансовый 2 4 4 2 2 3" xfId="7537"/>
    <cellStyle name="Финансовый 2 4 4 2 2 3 2" xfId="17672"/>
    <cellStyle name="Финансовый 2 4 4 2 2 4" xfId="17673"/>
    <cellStyle name="Финансовый 2 4 4 2 3" xfId="3447"/>
    <cellStyle name="Финансовый 2 4 4 2 3 2" xfId="8565"/>
    <cellStyle name="Финансовый 2 4 4 2 3 2 2" xfId="17674"/>
    <cellStyle name="Финансовый 2 4 4 2 3 3" xfId="17675"/>
    <cellStyle name="Финансовый 2 4 4 2 4" xfId="6509"/>
    <cellStyle name="Финансовый 2 4 4 2 4 2" xfId="17676"/>
    <cellStyle name="Финансовый 2 4 4 2 5" xfId="17677"/>
    <cellStyle name="Финансовый 2 4 4 2 6" xfId="17678"/>
    <cellStyle name="Финансовый 2 4 4 3" xfId="991"/>
    <cellStyle name="Финансовый 2 4 4 3 2" xfId="2110"/>
    <cellStyle name="Финансовый 2 4 4 3 2 2" xfId="4648"/>
    <cellStyle name="Финансовый 2 4 4 3 2 2 2" xfId="9766"/>
    <cellStyle name="Финансовый 2 4 4 3 2 2 2 2" xfId="17679"/>
    <cellStyle name="Финансовый 2 4 4 3 2 2 3" xfId="17680"/>
    <cellStyle name="Финансовый 2 4 4 3 2 3" xfId="7710"/>
    <cellStyle name="Финансовый 2 4 4 3 2 3 2" xfId="17681"/>
    <cellStyle name="Финансовый 2 4 4 3 2 4" xfId="17682"/>
    <cellStyle name="Финансовый 2 4 4 3 3" xfId="3620"/>
    <cellStyle name="Финансовый 2 4 4 3 3 2" xfId="8738"/>
    <cellStyle name="Финансовый 2 4 4 3 3 2 2" xfId="17683"/>
    <cellStyle name="Финансовый 2 4 4 3 3 3" xfId="17684"/>
    <cellStyle name="Финансовый 2 4 4 3 4" xfId="6682"/>
    <cellStyle name="Финансовый 2 4 4 3 4 2" xfId="17685"/>
    <cellStyle name="Финансовый 2 4 4 3 5" xfId="17686"/>
    <cellStyle name="Финансовый 2 4 4 4" xfId="1162"/>
    <cellStyle name="Финансовый 2 4 4 4 2" xfId="2281"/>
    <cellStyle name="Финансовый 2 4 4 4 2 2" xfId="4819"/>
    <cellStyle name="Финансовый 2 4 4 4 2 2 2" xfId="9937"/>
    <cellStyle name="Финансовый 2 4 4 4 2 2 2 2" xfId="17687"/>
    <cellStyle name="Финансовый 2 4 4 4 2 2 3" xfId="17688"/>
    <cellStyle name="Финансовый 2 4 4 4 2 3" xfId="7881"/>
    <cellStyle name="Финансовый 2 4 4 4 2 3 2" xfId="17689"/>
    <cellStyle name="Финансовый 2 4 4 4 2 4" xfId="17690"/>
    <cellStyle name="Финансовый 2 4 4 4 3" xfId="3791"/>
    <cellStyle name="Финансовый 2 4 4 4 3 2" xfId="8909"/>
    <cellStyle name="Финансовый 2 4 4 4 3 2 2" xfId="17691"/>
    <cellStyle name="Финансовый 2 4 4 4 3 3" xfId="17692"/>
    <cellStyle name="Финансовый 2 4 4 4 4" xfId="6853"/>
    <cellStyle name="Финансовый 2 4 4 4 4 2" xfId="17693"/>
    <cellStyle name="Финансовый 2 4 4 4 5" xfId="17694"/>
    <cellStyle name="Финансовый 2 4 4 5" xfId="1346"/>
    <cellStyle name="Финансовый 2 4 4 5 2" xfId="2452"/>
    <cellStyle name="Финансовый 2 4 4 5 2 2" xfId="4990"/>
    <cellStyle name="Финансовый 2 4 4 5 2 2 2" xfId="10108"/>
    <cellStyle name="Финансовый 2 4 4 5 2 2 2 2" xfId="17695"/>
    <cellStyle name="Финансовый 2 4 4 5 2 2 3" xfId="17696"/>
    <cellStyle name="Финансовый 2 4 4 5 2 3" xfId="8052"/>
    <cellStyle name="Финансовый 2 4 4 5 2 3 2" xfId="17697"/>
    <cellStyle name="Финансовый 2 4 4 5 2 4" xfId="17698"/>
    <cellStyle name="Финансовый 2 4 4 5 3" xfId="3962"/>
    <cellStyle name="Финансовый 2 4 4 5 3 2" xfId="9080"/>
    <cellStyle name="Финансовый 2 4 4 5 3 2 2" xfId="17699"/>
    <cellStyle name="Финансовый 2 4 4 5 3 3" xfId="17700"/>
    <cellStyle name="Финансовый 2 4 4 5 4" xfId="7024"/>
    <cellStyle name="Финансовый 2 4 4 5 4 2" xfId="17701"/>
    <cellStyle name="Финансовый 2 4 4 5 5" xfId="17702"/>
    <cellStyle name="Финансовый 2 4 4 6" xfId="1517"/>
    <cellStyle name="Финансовый 2 4 4 6 2" xfId="2623"/>
    <cellStyle name="Финансовый 2 4 4 6 2 2" xfId="5161"/>
    <cellStyle name="Финансовый 2 4 4 6 2 2 2" xfId="10279"/>
    <cellStyle name="Финансовый 2 4 4 6 2 2 2 2" xfId="17703"/>
    <cellStyle name="Финансовый 2 4 4 6 2 2 3" xfId="17704"/>
    <cellStyle name="Финансовый 2 4 4 6 2 3" xfId="8223"/>
    <cellStyle name="Финансовый 2 4 4 6 2 3 2" xfId="17705"/>
    <cellStyle name="Финансовый 2 4 4 6 2 4" xfId="17706"/>
    <cellStyle name="Финансовый 2 4 4 6 3" xfId="4133"/>
    <cellStyle name="Финансовый 2 4 4 6 3 2" xfId="9251"/>
    <cellStyle name="Финансовый 2 4 4 6 3 2 2" xfId="17707"/>
    <cellStyle name="Финансовый 2 4 4 6 3 3" xfId="17708"/>
    <cellStyle name="Финансовый 2 4 4 6 4" xfId="7195"/>
    <cellStyle name="Финансовый 2 4 4 6 4 2" xfId="17709"/>
    <cellStyle name="Финансовый 2 4 4 6 5" xfId="17710"/>
    <cellStyle name="Финансовый 2 4 4 7" xfId="1688"/>
    <cellStyle name="Финансовый 2 4 4 7 2" xfId="2794"/>
    <cellStyle name="Финансовый 2 4 4 7 2 2" xfId="5332"/>
    <cellStyle name="Финансовый 2 4 4 7 2 2 2" xfId="10450"/>
    <cellStyle name="Финансовый 2 4 4 7 2 2 2 2" xfId="17711"/>
    <cellStyle name="Финансовый 2 4 4 7 2 2 3" xfId="17712"/>
    <cellStyle name="Финансовый 2 4 4 7 2 3" xfId="8394"/>
    <cellStyle name="Финансовый 2 4 4 7 2 3 2" xfId="17713"/>
    <cellStyle name="Финансовый 2 4 4 7 2 4" xfId="17714"/>
    <cellStyle name="Финансовый 2 4 4 7 3" xfId="4304"/>
    <cellStyle name="Финансовый 2 4 4 7 3 2" xfId="9422"/>
    <cellStyle name="Финансовый 2 4 4 7 3 2 2" xfId="17715"/>
    <cellStyle name="Финансовый 2 4 4 7 3 3" xfId="17716"/>
    <cellStyle name="Финансовый 2 4 4 7 4" xfId="7366"/>
    <cellStyle name="Финансовый 2 4 4 7 4 2" xfId="17717"/>
    <cellStyle name="Финансовый 2 4 4 7 5" xfId="17718"/>
    <cellStyle name="Финансовый 2 4 4 8" xfId="1754"/>
    <cellStyle name="Финансовый 2 4 4 9" xfId="3135"/>
    <cellStyle name="Финансовый 2 4 5" xfId="515"/>
    <cellStyle name="Финансовый 2 4 5 2" xfId="3136"/>
    <cellStyle name="Финансовый 2 4 5 3" xfId="2885"/>
    <cellStyle name="Финансовый 2 4 6" xfId="17719"/>
    <cellStyle name="Финансовый 2 5" xfId="516"/>
    <cellStyle name="Финансовый 2 5 2" xfId="517"/>
    <cellStyle name="Финансовый 2 5 2 2" xfId="816"/>
    <cellStyle name="Финансовый 2 5 2 2 2" xfId="1938"/>
    <cellStyle name="Финансовый 2 5 2 2 2 2" xfId="4476"/>
    <cellStyle name="Финансовый 2 5 2 2 2 2 2" xfId="9594"/>
    <cellStyle name="Финансовый 2 5 2 2 2 2 2 2" xfId="17720"/>
    <cellStyle name="Финансовый 2 5 2 2 2 2 3" xfId="17721"/>
    <cellStyle name="Финансовый 2 5 2 2 2 3" xfId="7538"/>
    <cellStyle name="Финансовый 2 5 2 2 2 3 2" xfId="17722"/>
    <cellStyle name="Финансовый 2 5 2 2 2 4" xfId="17723"/>
    <cellStyle name="Финансовый 2 5 2 2 3" xfId="3448"/>
    <cellStyle name="Финансовый 2 5 2 2 3 2" xfId="8566"/>
    <cellStyle name="Финансовый 2 5 2 2 3 2 2" xfId="17724"/>
    <cellStyle name="Финансовый 2 5 2 2 3 3" xfId="17725"/>
    <cellStyle name="Финансовый 2 5 2 2 4" xfId="6510"/>
    <cellStyle name="Финансовый 2 5 2 2 4 2" xfId="17726"/>
    <cellStyle name="Финансовый 2 5 2 2 5" xfId="17727"/>
    <cellStyle name="Финансовый 2 5 2 2 6" xfId="17728"/>
    <cellStyle name="Финансовый 2 5 2 3" xfId="992"/>
    <cellStyle name="Финансовый 2 5 2 3 2" xfId="2111"/>
    <cellStyle name="Финансовый 2 5 2 3 2 2" xfId="4649"/>
    <cellStyle name="Финансовый 2 5 2 3 2 2 2" xfId="9767"/>
    <cellStyle name="Финансовый 2 5 2 3 2 2 2 2" xfId="17729"/>
    <cellStyle name="Финансовый 2 5 2 3 2 2 3" xfId="17730"/>
    <cellStyle name="Финансовый 2 5 2 3 2 3" xfId="7711"/>
    <cellStyle name="Финансовый 2 5 2 3 2 3 2" xfId="17731"/>
    <cellStyle name="Финансовый 2 5 2 3 2 4" xfId="17732"/>
    <cellStyle name="Финансовый 2 5 2 3 3" xfId="3621"/>
    <cellStyle name="Финансовый 2 5 2 3 3 2" xfId="8739"/>
    <cellStyle name="Финансовый 2 5 2 3 3 2 2" xfId="17733"/>
    <cellStyle name="Финансовый 2 5 2 3 3 3" xfId="17734"/>
    <cellStyle name="Финансовый 2 5 2 3 4" xfId="6683"/>
    <cellStyle name="Финансовый 2 5 2 3 4 2" xfId="17735"/>
    <cellStyle name="Финансовый 2 5 2 3 5" xfId="17736"/>
    <cellStyle name="Финансовый 2 5 2 4" xfId="1163"/>
    <cellStyle name="Финансовый 2 5 2 4 2" xfId="2282"/>
    <cellStyle name="Финансовый 2 5 2 4 2 2" xfId="4820"/>
    <cellStyle name="Финансовый 2 5 2 4 2 2 2" xfId="9938"/>
    <cellStyle name="Финансовый 2 5 2 4 2 2 2 2" xfId="17737"/>
    <cellStyle name="Финансовый 2 5 2 4 2 2 3" xfId="17738"/>
    <cellStyle name="Финансовый 2 5 2 4 2 3" xfId="7882"/>
    <cellStyle name="Финансовый 2 5 2 4 2 3 2" xfId="17739"/>
    <cellStyle name="Финансовый 2 5 2 4 2 4" xfId="17740"/>
    <cellStyle name="Финансовый 2 5 2 4 3" xfId="3792"/>
    <cellStyle name="Финансовый 2 5 2 4 3 2" xfId="8910"/>
    <cellStyle name="Финансовый 2 5 2 4 3 2 2" xfId="17741"/>
    <cellStyle name="Финансовый 2 5 2 4 3 3" xfId="17742"/>
    <cellStyle name="Финансовый 2 5 2 4 4" xfId="6854"/>
    <cellStyle name="Финансовый 2 5 2 4 4 2" xfId="17743"/>
    <cellStyle name="Финансовый 2 5 2 4 5" xfId="17744"/>
    <cellStyle name="Финансовый 2 5 2 5" xfId="1347"/>
    <cellStyle name="Финансовый 2 5 2 5 2" xfId="2453"/>
    <cellStyle name="Финансовый 2 5 2 5 2 2" xfId="4991"/>
    <cellStyle name="Финансовый 2 5 2 5 2 2 2" xfId="10109"/>
    <cellStyle name="Финансовый 2 5 2 5 2 2 2 2" xfId="17745"/>
    <cellStyle name="Финансовый 2 5 2 5 2 2 3" xfId="17746"/>
    <cellStyle name="Финансовый 2 5 2 5 2 3" xfId="8053"/>
    <cellStyle name="Финансовый 2 5 2 5 2 3 2" xfId="17747"/>
    <cellStyle name="Финансовый 2 5 2 5 2 4" xfId="17748"/>
    <cellStyle name="Финансовый 2 5 2 5 3" xfId="3963"/>
    <cellStyle name="Финансовый 2 5 2 5 3 2" xfId="9081"/>
    <cellStyle name="Финансовый 2 5 2 5 3 2 2" xfId="17749"/>
    <cellStyle name="Финансовый 2 5 2 5 3 3" xfId="17750"/>
    <cellStyle name="Финансовый 2 5 2 5 4" xfId="7025"/>
    <cellStyle name="Финансовый 2 5 2 5 4 2" xfId="17751"/>
    <cellStyle name="Финансовый 2 5 2 5 5" xfId="17752"/>
    <cellStyle name="Финансовый 2 5 2 6" xfId="1518"/>
    <cellStyle name="Финансовый 2 5 2 6 2" xfId="2624"/>
    <cellStyle name="Финансовый 2 5 2 6 2 2" xfId="5162"/>
    <cellStyle name="Финансовый 2 5 2 6 2 2 2" xfId="10280"/>
    <cellStyle name="Финансовый 2 5 2 6 2 2 2 2" xfId="17753"/>
    <cellStyle name="Финансовый 2 5 2 6 2 2 3" xfId="17754"/>
    <cellStyle name="Финансовый 2 5 2 6 2 3" xfId="8224"/>
    <cellStyle name="Финансовый 2 5 2 6 2 3 2" xfId="17755"/>
    <cellStyle name="Финансовый 2 5 2 6 2 4" xfId="17756"/>
    <cellStyle name="Финансовый 2 5 2 6 3" xfId="4134"/>
    <cellStyle name="Финансовый 2 5 2 6 3 2" xfId="9252"/>
    <cellStyle name="Финансовый 2 5 2 6 3 2 2" xfId="17757"/>
    <cellStyle name="Финансовый 2 5 2 6 3 3" xfId="17758"/>
    <cellStyle name="Финансовый 2 5 2 6 4" xfId="7196"/>
    <cellStyle name="Финансовый 2 5 2 6 4 2" xfId="17759"/>
    <cellStyle name="Финансовый 2 5 2 6 5" xfId="17760"/>
    <cellStyle name="Финансовый 2 5 2 7" xfId="1689"/>
    <cellStyle name="Финансовый 2 5 2 7 2" xfId="2795"/>
    <cellStyle name="Финансовый 2 5 2 7 2 2" xfId="5333"/>
    <cellStyle name="Финансовый 2 5 2 7 2 2 2" xfId="10451"/>
    <cellStyle name="Финансовый 2 5 2 7 2 2 2 2" xfId="17761"/>
    <cellStyle name="Финансовый 2 5 2 7 2 2 3" xfId="17762"/>
    <cellStyle name="Финансовый 2 5 2 7 2 3" xfId="8395"/>
    <cellStyle name="Финансовый 2 5 2 7 2 3 2" xfId="17763"/>
    <cellStyle name="Финансовый 2 5 2 7 2 4" xfId="17764"/>
    <cellStyle name="Финансовый 2 5 2 7 3" xfId="4305"/>
    <cellStyle name="Финансовый 2 5 2 7 3 2" xfId="9423"/>
    <cellStyle name="Финансовый 2 5 2 7 3 2 2" xfId="17765"/>
    <cellStyle name="Финансовый 2 5 2 7 3 3" xfId="17766"/>
    <cellStyle name="Финансовый 2 5 2 7 4" xfId="7367"/>
    <cellStyle name="Финансовый 2 5 2 7 4 2" xfId="17767"/>
    <cellStyle name="Финансовый 2 5 2 7 5" xfId="17768"/>
    <cellStyle name="Финансовый 2 5 2 8" xfId="1755"/>
    <cellStyle name="Финансовый 2 5 2 9" xfId="3137"/>
    <cellStyle name="Финансовый 2 5 3" xfId="518"/>
    <cellStyle name="Финансовый 2 5 3 2" xfId="3138"/>
    <cellStyle name="Финансовый 2 5 3 3" xfId="2888"/>
    <cellStyle name="Финансовый 2 5 4" xfId="17769"/>
    <cellStyle name="Финансовый 2 6" xfId="519"/>
    <cellStyle name="Финансовый 2 6 2" xfId="520"/>
    <cellStyle name="Финансовый 2 6 2 2" xfId="817"/>
    <cellStyle name="Финансовый 2 6 2 2 2" xfId="1939"/>
    <cellStyle name="Финансовый 2 6 2 2 2 2" xfId="4477"/>
    <cellStyle name="Финансовый 2 6 2 2 2 2 2" xfId="9595"/>
    <cellStyle name="Финансовый 2 6 2 2 2 2 2 2" xfId="17770"/>
    <cellStyle name="Финансовый 2 6 2 2 2 2 3" xfId="17771"/>
    <cellStyle name="Финансовый 2 6 2 2 2 3" xfId="7539"/>
    <cellStyle name="Финансовый 2 6 2 2 2 3 2" xfId="17772"/>
    <cellStyle name="Финансовый 2 6 2 2 2 4" xfId="17773"/>
    <cellStyle name="Финансовый 2 6 2 2 3" xfId="3449"/>
    <cellStyle name="Финансовый 2 6 2 2 3 2" xfId="8567"/>
    <cellStyle name="Финансовый 2 6 2 2 3 2 2" xfId="17774"/>
    <cellStyle name="Финансовый 2 6 2 2 3 3" xfId="17775"/>
    <cellStyle name="Финансовый 2 6 2 2 4" xfId="6511"/>
    <cellStyle name="Финансовый 2 6 2 2 4 2" xfId="17776"/>
    <cellStyle name="Финансовый 2 6 2 2 5" xfId="17777"/>
    <cellStyle name="Финансовый 2 6 2 2 6" xfId="17778"/>
    <cellStyle name="Финансовый 2 6 2 3" xfId="993"/>
    <cellStyle name="Финансовый 2 6 2 3 2" xfId="2112"/>
    <cellStyle name="Финансовый 2 6 2 3 2 2" xfId="4650"/>
    <cellStyle name="Финансовый 2 6 2 3 2 2 2" xfId="9768"/>
    <cellStyle name="Финансовый 2 6 2 3 2 2 2 2" xfId="17779"/>
    <cellStyle name="Финансовый 2 6 2 3 2 2 3" xfId="17780"/>
    <cellStyle name="Финансовый 2 6 2 3 2 3" xfId="7712"/>
    <cellStyle name="Финансовый 2 6 2 3 2 3 2" xfId="17781"/>
    <cellStyle name="Финансовый 2 6 2 3 2 4" xfId="17782"/>
    <cellStyle name="Финансовый 2 6 2 3 3" xfId="3622"/>
    <cellStyle name="Финансовый 2 6 2 3 3 2" xfId="8740"/>
    <cellStyle name="Финансовый 2 6 2 3 3 2 2" xfId="17783"/>
    <cellStyle name="Финансовый 2 6 2 3 3 3" xfId="17784"/>
    <cellStyle name="Финансовый 2 6 2 3 4" xfId="6684"/>
    <cellStyle name="Финансовый 2 6 2 3 4 2" xfId="17785"/>
    <cellStyle name="Финансовый 2 6 2 3 5" xfId="17786"/>
    <cellStyle name="Финансовый 2 6 2 4" xfId="1164"/>
    <cellStyle name="Финансовый 2 6 2 4 2" xfId="2283"/>
    <cellStyle name="Финансовый 2 6 2 4 2 2" xfId="4821"/>
    <cellStyle name="Финансовый 2 6 2 4 2 2 2" xfId="9939"/>
    <cellStyle name="Финансовый 2 6 2 4 2 2 2 2" xfId="17787"/>
    <cellStyle name="Финансовый 2 6 2 4 2 2 3" xfId="17788"/>
    <cellStyle name="Финансовый 2 6 2 4 2 3" xfId="7883"/>
    <cellStyle name="Финансовый 2 6 2 4 2 3 2" xfId="17789"/>
    <cellStyle name="Финансовый 2 6 2 4 2 4" xfId="17790"/>
    <cellStyle name="Финансовый 2 6 2 4 3" xfId="3793"/>
    <cellStyle name="Финансовый 2 6 2 4 3 2" xfId="8911"/>
    <cellStyle name="Финансовый 2 6 2 4 3 2 2" xfId="17791"/>
    <cellStyle name="Финансовый 2 6 2 4 3 3" xfId="17792"/>
    <cellStyle name="Финансовый 2 6 2 4 4" xfId="6855"/>
    <cellStyle name="Финансовый 2 6 2 4 4 2" xfId="17793"/>
    <cellStyle name="Финансовый 2 6 2 4 5" xfId="17794"/>
    <cellStyle name="Финансовый 2 6 2 5" xfId="1348"/>
    <cellStyle name="Финансовый 2 6 2 5 2" xfId="2454"/>
    <cellStyle name="Финансовый 2 6 2 5 2 2" xfId="4992"/>
    <cellStyle name="Финансовый 2 6 2 5 2 2 2" xfId="10110"/>
    <cellStyle name="Финансовый 2 6 2 5 2 2 2 2" xfId="17795"/>
    <cellStyle name="Финансовый 2 6 2 5 2 2 3" xfId="17796"/>
    <cellStyle name="Финансовый 2 6 2 5 2 3" xfId="8054"/>
    <cellStyle name="Финансовый 2 6 2 5 2 3 2" xfId="17797"/>
    <cellStyle name="Финансовый 2 6 2 5 2 4" xfId="17798"/>
    <cellStyle name="Финансовый 2 6 2 5 3" xfId="3964"/>
    <cellStyle name="Финансовый 2 6 2 5 3 2" xfId="9082"/>
    <cellStyle name="Финансовый 2 6 2 5 3 2 2" xfId="17799"/>
    <cellStyle name="Финансовый 2 6 2 5 3 3" xfId="17800"/>
    <cellStyle name="Финансовый 2 6 2 5 4" xfId="7026"/>
    <cellStyle name="Финансовый 2 6 2 5 4 2" xfId="17801"/>
    <cellStyle name="Финансовый 2 6 2 5 5" xfId="17802"/>
    <cellStyle name="Финансовый 2 6 2 6" xfId="1519"/>
    <cellStyle name="Финансовый 2 6 2 6 2" xfId="2625"/>
    <cellStyle name="Финансовый 2 6 2 6 2 2" xfId="5163"/>
    <cellStyle name="Финансовый 2 6 2 6 2 2 2" xfId="10281"/>
    <cellStyle name="Финансовый 2 6 2 6 2 2 2 2" xfId="17803"/>
    <cellStyle name="Финансовый 2 6 2 6 2 2 3" xfId="17804"/>
    <cellStyle name="Финансовый 2 6 2 6 2 3" xfId="8225"/>
    <cellStyle name="Финансовый 2 6 2 6 2 3 2" xfId="17805"/>
    <cellStyle name="Финансовый 2 6 2 6 2 4" xfId="17806"/>
    <cellStyle name="Финансовый 2 6 2 6 3" xfId="4135"/>
    <cellStyle name="Финансовый 2 6 2 6 3 2" xfId="9253"/>
    <cellStyle name="Финансовый 2 6 2 6 3 2 2" xfId="17807"/>
    <cellStyle name="Финансовый 2 6 2 6 3 3" xfId="17808"/>
    <cellStyle name="Финансовый 2 6 2 6 4" xfId="7197"/>
    <cellStyle name="Финансовый 2 6 2 6 4 2" xfId="17809"/>
    <cellStyle name="Финансовый 2 6 2 6 5" xfId="17810"/>
    <cellStyle name="Финансовый 2 6 2 7" xfId="1690"/>
    <cellStyle name="Финансовый 2 6 2 7 2" xfId="2796"/>
    <cellStyle name="Финансовый 2 6 2 7 2 2" xfId="5334"/>
    <cellStyle name="Финансовый 2 6 2 7 2 2 2" xfId="10452"/>
    <cellStyle name="Финансовый 2 6 2 7 2 2 2 2" xfId="17811"/>
    <cellStyle name="Финансовый 2 6 2 7 2 2 3" xfId="17812"/>
    <cellStyle name="Финансовый 2 6 2 7 2 3" xfId="8396"/>
    <cellStyle name="Финансовый 2 6 2 7 2 3 2" xfId="17813"/>
    <cellStyle name="Финансовый 2 6 2 7 2 4" xfId="17814"/>
    <cellStyle name="Финансовый 2 6 2 7 3" xfId="4306"/>
    <cellStyle name="Финансовый 2 6 2 7 3 2" xfId="9424"/>
    <cellStyle name="Финансовый 2 6 2 7 3 2 2" xfId="17815"/>
    <cellStyle name="Финансовый 2 6 2 7 3 3" xfId="17816"/>
    <cellStyle name="Финансовый 2 6 2 7 4" xfId="7368"/>
    <cellStyle name="Финансовый 2 6 2 7 4 2" xfId="17817"/>
    <cellStyle name="Финансовый 2 6 2 7 5" xfId="17818"/>
    <cellStyle name="Финансовый 2 6 2 8" xfId="1756"/>
    <cellStyle name="Финансовый 2 6 2 9" xfId="3139"/>
    <cellStyle name="Финансовый 2 6 3" xfId="521"/>
    <cellStyle name="Финансовый 2 6 3 2" xfId="3140"/>
    <cellStyle name="Финансовый 2 6 3 3" xfId="2889"/>
    <cellStyle name="Финансовый 2 6 4" xfId="17819"/>
    <cellStyle name="Финансовый 2 7" xfId="522"/>
    <cellStyle name="Финансовый 2 7 2" xfId="523"/>
    <cellStyle name="Финансовый 2 7 2 2" xfId="818"/>
    <cellStyle name="Финансовый 2 7 2 2 2" xfId="1940"/>
    <cellStyle name="Финансовый 2 7 2 2 2 2" xfId="4478"/>
    <cellStyle name="Финансовый 2 7 2 2 2 2 2" xfId="9596"/>
    <cellStyle name="Финансовый 2 7 2 2 2 2 2 2" xfId="17820"/>
    <cellStyle name="Финансовый 2 7 2 2 2 2 3" xfId="17821"/>
    <cellStyle name="Финансовый 2 7 2 2 2 3" xfId="7540"/>
    <cellStyle name="Финансовый 2 7 2 2 2 3 2" xfId="17822"/>
    <cellStyle name="Финансовый 2 7 2 2 2 4" xfId="17823"/>
    <cellStyle name="Финансовый 2 7 2 2 3" xfId="3450"/>
    <cellStyle name="Финансовый 2 7 2 2 3 2" xfId="8568"/>
    <cellStyle name="Финансовый 2 7 2 2 3 2 2" xfId="17824"/>
    <cellStyle name="Финансовый 2 7 2 2 3 3" xfId="17825"/>
    <cellStyle name="Финансовый 2 7 2 2 4" xfId="6512"/>
    <cellStyle name="Финансовый 2 7 2 2 4 2" xfId="17826"/>
    <cellStyle name="Финансовый 2 7 2 2 5" xfId="17827"/>
    <cellStyle name="Финансовый 2 7 2 2 6" xfId="17828"/>
    <cellStyle name="Финансовый 2 7 2 3" xfId="994"/>
    <cellStyle name="Финансовый 2 7 2 3 2" xfId="2113"/>
    <cellStyle name="Финансовый 2 7 2 3 2 2" xfId="4651"/>
    <cellStyle name="Финансовый 2 7 2 3 2 2 2" xfId="9769"/>
    <cellStyle name="Финансовый 2 7 2 3 2 2 2 2" xfId="17829"/>
    <cellStyle name="Финансовый 2 7 2 3 2 2 3" xfId="17830"/>
    <cellStyle name="Финансовый 2 7 2 3 2 3" xfId="7713"/>
    <cellStyle name="Финансовый 2 7 2 3 2 3 2" xfId="17831"/>
    <cellStyle name="Финансовый 2 7 2 3 2 4" xfId="17832"/>
    <cellStyle name="Финансовый 2 7 2 3 3" xfId="3623"/>
    <cellStyle name="Финансовый 2 7 2 3 3 2" xfId="8741"/>
    <cellStyle name="Финансовый 2 7 2 3 3 2 2" xfId="17833"/>
    <cellStyle name="Финансовый 2 7 2 3 3 3" xfId="17834"/>
    <cellStyle name="Финансовый 2 7 2 3 4" xfId="6685"/>
    <cellStyle name="Финансовый 2 7 2 3 4 2" xfId="17835"/>
    <cellStyle name="Финансовый 2 7 2 3 5" xfId="17836"/>
    <cellStyle name="Финансовый 2 7 2 4" xfId="1165"/>
    <cellStyle name="Финансовый 2 7 2 4 2" xfId="2284"/>
    <cellStyle name="Финансовый 2 7 2 4 2 2" xfId="4822"/>
    <cellStyle name="Финансовый 2 7 2 4 2 2 2" xfId="9940"/>
    <cellStyle name="Финансовый 2 7 2 4 2 2 2 2" xfId="17837"/>
    <cellStyle name="Финансовый 2 7 2 4 2 2 3" xfId="17838"/>
    <cellStyle name="Финансовый 2 7 2 4 2 3" xfId="7884"/>
    <cellStyle name="Финансовый 2 7 2 4 2 3 2" xfId="17839"/>
    <cellStyle name="Финансовый 2 7 2 4 2 4" xfId="17840"/>
    <cellStyle name="Финансовый 2 7 2 4 3" xfId="3794"/>
    <cellStyle name="Финансовый 2 7 2 4 3 2" xfId="8912"/>
    <cellStyle name="Финансовый 2 7 2 4 3 2 2" xfId="17841"/>
    <cellStyle name="Финансовый 2 7 2 4 3 3" xfId="17842"/>
    <cellStyle name="Финансовый 2 7 2 4 4" xfId="6856"/>
    <cellStyle name="Финансовый 2 7 2 4 4 2" xfId="17843"/>
    <cellStyle name="Финансовый 2 7 2 4 5" xfId="17844"/>
    <cellStyle name="Финансовый 2 7 2 5" xfId="1349"/>
    <cellStyle name="Финансовый 2 7 2 5 2" xfId="2455"/>
    <cellStyle name="Финансовый 2 7 2 5 2 2" xfId="4993"/>
    <cellStyle name="Финансовый 2 7 2 5 2 2 2" xfId="10111"/>
    <cellStyle name="Финансовый 2 7 2 5 2 2 2 2" xfId="17845"/>
    <cellStyle name="Финансовый 2 7 2 5 2 2 3" xfId="17846"/>
    <cellStyle name="Финансовый 2 7 2 5 2 3" xfId="8055"/>
    <cellStyle name="Финансовый 2 7 2 5 2 3 2" xfId="17847"/>
    <cellStyle name="Финансовый 2 7 2 5 2 4" xfId="17848"/>
    <cellStyle name="Финансовый 2 7 2 5 3" xfId="3965"/>
    <cellStyle name="Финансовый 2 7 2 5 3 2" xfId="9083"/>
    <cellStyle name="Финансовый 2 7 2 5 3 2 2" xfId="17849"/>
    <cellStyle name="Финансовый 2 7 2 5 3 3" xfId="17850"/>
    <cellStyle name="Финансовый 2 7 2 5 4" xfId="7027"/>
    <cellStyle name="Финансовый 2 7 2 5 4 2" xfId="17851"/>
    <cellStyle name="Финансовый 2 7 2 5 5" xfId="17852"/>
    <cellStyle name="Финансовый 2 7 2 6" xfId="1520"/>
    <cellStyle name="Финансовый 2 7 2 6 2" xfId="2626"/>
    <cellStyle name="Финансовый 2 7 2 6 2 2" xfId="5164"/>
    <cellStyle name="Финансовый 2 7 2 6 2 2 2" xfId="10282"/>
    <cellStyle name="Финансовый 2 7 2 6 2 2 2 2" xfId="17853"/>
    <cellStyle name="Финансовый 2 7 2 6 2 2 3" xfId="17854"/>
    <cellStyle name="Финансовый 2 7 2 6 2 3" xfId="8226"/>
    <cellStyle name="Финансовый 2 7 2 6 2 3 2" xfId="17855"/>
    <cellStyle name="Финансовый 2 7 2 6 2 4" xfId="17856"/>
    <cellStyle name="Финансовый 2 7 2 6 3" xfId="4136"/>
    <cellStyle name="Финансовый 2 7 2 6 3 2" xfId="9254"/>
    <cellStyle name="Финансовый 2 7 2 6 3 2 2" xfId="17857"/>
    <cellStyle name="Финансовый 2 7 2 6 3 3" xfId="17858"/>
    <cellStyle name="Финансовый 2 7 2 6 4" xfId="7198"/>
    <cellStyle name="Финансовый 2 7 2 6 4 2" xfId="17859"/>
    <cellStyle name="Финансовый 2 7 2 6 5" xfId="17860"/>
    <cellStyle name="Финансовый 2 7 2 7" xfId="1691"/>
    <cellStyle name="Финансовый 2 7 2 7 2" xfId="2797"/>
    <cellStyle name="Финансовый 2 7 2 7 2 2" xfId="5335"/>
    <cellStyle name="Финансовый 2 7 2 7 2 2 2" xfId="10453"/>
    <cellStyle name="Финансовый 2 7 2 7 2 2 2 2" xfId="17861"/>
    <cellStyle name="Финансовый 2 7 2 7 2 2 3" xfId="17862"/>
    <cellStyle name="Финансовый 2 7 2 7 2 3" xfId="8397"/>
    <cellStyle name="Финансовый 2 7 2 7 2 3 2" xfId="17863"/>
    <cellStyle name="Финансовый 2 7 2 7 2 4" xfId="17864"/>
    <cellStyle name="Финансовый 2 7 2 7 3" xfId="4307"/>
    <cellStyle name="Финансовый 2 7 2 7 3 2" xfId="9425"/>
    <cellStyle name="Финансовый 2 7 2 7 3 2 2" xfId="17865"/>
    <cellStyle name="Финансовый 2 7 2 7 3 3" xfId="17866"/>
    <cellStyle name="Финансовый 2 7 2 7 4" xfId="7369"/>
    <cellStyle name="Финансовый 2 7 2 7 4 2" xfId="17867"/>
    <cellStyle name="Финансовый 2 7 2 7 5" xfId="17868"/>
    <cellStyle name="Финансовый 2 7 2 8" xfId="1757"/>
    <cellStyle name="Финансовый 2 7 2 9" xfId="3141"/>
    <cellStyle name="Финансовый 2 7 3" xfId="524"/>
    <cellStyle name="Финансовый 2 7 3 2" xfId="3142"/>
    <cellStyle name="Финансовый 2 7 3 3" xfId="2890"/>
    <cellStyle name="Финансовый 2 7 4" xfId="17869"/>
    <cellStyle name="Финансовый 2 8" xfId="525"/>
    <cellStyle name="Финансовый 2 8 2" xfId="819"/>
    <cellStyle name="Финансовый 2 8 2 2" xfId="1941"/>
    <cellStyle name="Финансовый 2 8 2 2 2" xfId="4479"/>
    <cellStyle name="Финансовый 2 8 2 2 2 2" xfId="9597"/>
    <cellStyle name="Финансовый 2 8 2 2 2 2 2" xfId="17870"/>
    <cellStyle name="Финансовый 2 8 2 2 2 3" xfId="17871"/>
    <cellStyle name="Финансовый 2 8 2 2 3" xfId="7541"/>
    <cellStyle name="Финансовый 2 8 2 2 3 2" xfId="17872"/>
    <cellStyle name="Финансовый 2 8 2 2 4" xfId="17873"/>
    <cellStyle name="Финансовый 2 8 2 3" xfId="3451"/>
    <cellStyle name="Финансовый 2 8 2 3 2" xfId="8569"/>
    <cellStyle name="Финансовый 2 8 2 3 2 2" xfId="17874"/>
    <cellStyle name="Финансовый 2 8 2 3 3" xfId="17875"/>
    <cellStyle name="Финансовый 2 8 2 4" xfId="6513"/>
    <cellStyle name="Финансовый 2 8 2 4 2" xfId="17876"/>
    <cellStyle name="Финансовый 2 8 2 5" xfId="17877"/>
    <cellStyle name="Финансовый 2 8 2 6" xfId="17878"/>
    <cellStyle name="Финансовый 2 8 3" xfId="995"/>
    <cellStyle name="Финансовый 2 8 3 2" xfId="2114"/>
    <cellStyle name="Финансовый 2 8 3 2 2" xfId="4652"/>
    <cellStyle name="Финансовый 2 8 3 2 2 2" xfId="9770"/>
    <cellStyle name="Финансовый 2 8 3 2 2 2 2" xfId="17879"/>
    <cellStyle name="Финансовый 2 8 3 2 2 3" xfId="17880"/>
    <cellStyle name="Финансовый 2 8 3 2 3" xfId="7714"/>
    <cellStyle name="Финансовый 2 8 3 2 3 2" xfId="17881"/>
    <cellStyle name="Финансовый 2 8 3 2 4" xfId="17882"/>
    <cellStyle name="Финансовый 2 8 3 3" xfId="3624"/>
    <cellStyle name="Финансовый 2 8 3 3 2" xfId="8742"/>
    <cellStyle name="Финансовый 2 8 3 3 2 2" xfId="17883"/>
    <cellStyle name="Финансовый 2 8 3 3 3" xfId="17884"/>
    <cellStyle name="Финансовый 2 8 3 4" xfId="6686"/>
    <cellStyle name="Финансовый 2 8 3 4 2" xfId="17885"/>
    <cellStyle name="Финансовый 2 8 3 5" xfId="17886"/>
    <cellStyle name="Финансовый 2 8 4" xfId="1166"/>
    <cellStyle name="Финансовый 2 8 4 2" xfId="2285"/>
    <cellStyle name="Финансовый 2 8 4 2 2" xfId="4823"/>
    <cellStyle name="Финансовый 2 8 4 2 2 2" xfId="9941"/>
    <cellStyle name="Финансовый 2 8 4 2 2 2 2" xfId="17887"/>
    <cellStyle name="Финансовый 2 8 4 2 2 3" xfId="17888"/>
    <cellStyle name="Финансовый 2 8 4 2 3" xfId="7885"/>
    <cellStyle name="Финансовый 2 8 4 2 3 2" xfId="17889"/>
    <cellStyle name="Финансовый 2 8 4 2 4" xfId="17890"/>
    <cellStyle name="Финансовый 2 8 4 3" xfId="3795"/>
    <cellStyle name="Финансовый 2 8 4 3 2" xfId="8913"/>
    <cellStyle name="Финансовый 2 8 4 3 2 2" xfId="17891"/>
    <cellStyle name="Финансовый 2 8 4 3 3" xfId="17892"/>
    <cellStyle name="Финансовый 2 8 4 4" xfId="6857"/>
    <cellStyle name="Финансовый 2 8 4 4 2" xfId="17893"/>
    <cellStyle name="Финансовый 2 8 4 5" xfId="17894"/>
    <cellStyle name="Финансовый 2 8 5" xfId="1350"/>
    <cellStyle name="Финансовый 2 8 5 2" xfId="2456"/>
    <cellStyle name="Финансовый 2 8 5 2 2" xfId="4994"/>
    <cellStyle name="Финансовый 2 8 5 2 2 2" xfId="10112"/>
    <cellStyle name="Финансовый 2 8 5 2 2 2 2" xfId="17895"/>
    <cellStyle name="Финансовый 2 8 5 2 2 3" xfId="17896"/>
    <cellStyle name="Финансовый 2 8 5 2 3" xfId="8056"/>
    <cellStyle name="Финансовый 2 8 5 2 3 2" xfId="17897"/>
    <cellStyle name="Финансовый 2 8 5 2 4" xfId="17898"/>
    <cellStyle name="Финансовый 2 8 5 3" xfId="3966"/>
    <cellStyle name="Финансовый 2 8 5 3 2" xfId="9084"/>
    <cellStyle name="Финансовый 2 8 5 3 2 2" xfId="17899"/>
    <cellStyle name="Финансовый 2 8 5 3 3" xfId="17900"/>
    <cellStyle name="Финансовый 2 8 5 4" xfId="7028"/>
    <cellStyle name="Финансовый 2 8 5 4 2" xfId="17901"/>
    <cellStyle name="Финансовый 2 8 5 5" xfId="17902"/>
    <cellStyle name="Финансовый 2 8 6" xfId="1521"/>
    <cellStyle name="Финансовый 2 8 6 2" xfId="2627"/>
    <cellStyle name="Финансовый 2 8 6 2 2" xfId="5165"/>
    <cellStyle name="Финансовый 2 8 6 2 2 2" xfId="10283"/>
    <cellStyle name="Финансовый 2 8 6 2 2 2 2" xfId="17903"/>
    <cellStyle name="Финансовый 2 8 6 2 2 3" xfId="17904"/>
    <cellStyle name="Финансовый 2 8 6 2 3" xfId="8227"/>
    <cellStyle name="Финансовый 2 8 6 2 3 2" xfId="17905"/>
    <cellStyle name="Финансовый 2 8 6 2 4" xfId="17906"/>
    <cellStyle name="Финансовый 2 8 6 3" xfId="4137"/>
    <cellStyle name="Финансовый 2 8 6 3 2" xfId="9255"/>
    <cellStyle name="Финансовый 2 8 6 3 2 2" xfId="17907"/>
    <cellStyle name="Финансовый 2 8 6 3 3" xfId="17908"/>
    <cellStyle name="Финансовый 2 8 6 4" xfId="7199"/>
    <cellStyle name="Финансовый 2 8 6 4 2" xfId="17909"/>
    <cellStyle name="Финансовый 2 8 6 5" xfId="17910"/>
    <cellStyle name="Финансовый 2 8 7" xfId="1692"/>
    <cellStyle name="Финансовый 2 8 7 2" xfId="2798"/>
    <cellStyle name="Финансовый 2 8 7 2 2" xfId="5336"/>
    <cellStyle name="Финансовый 2 8 7 2 2 2" xfId="10454"/>
    <cellStyle name="Финансовый 2 8 7 2 2 2 2" xfId="17911"/>
    <cellStyle name="Финансовый 2 8 7 2 2 3" xfId="17912"/>
    <cellStyle name="Финансовый 2 8 7 2 3" xfId="8398"/>
    <cellStyle name="Финансовый 2 8 7 2 3 2" xfId="17913"/>
    <cellStyle name="Финансовый 2 8 7 2 4" xfId="17914"/>
    <cellStyle name="Финансовый 2 8 7 3" xfId="4308"/>
    <cellStyle name="Финансовый 2 8 7 3 2" xfId="9426"/>
    <cellStyle name="Финансовый 2 8 7 3 2 2" xfId="17915"/>
    <cellStyle name="Финансовый 2 8 7 3 3" xfId="17916"/>
    <cellStyle name="Финансовый 2 8 7 4" xfId="7370"/>
    <cellStyle name="Финансовый 2 8 7 4 2" xfId="17917"/>
    <cellStyle name="Финансовый 2 8 7 5" xfId="17918"/>
    <cellStyle name="Финансовый 2 8 8" xfId="1758"/>
    <cellStyle name="Финансовый 2 8 9" xfId="3143"/>
    <cellStyle name="Финансовый 2 9" xfId="526"/>
    <cellStyle name="Финансовый 2 9 2" xfId="3144"/>
    <cellStyle name="Финансовый 2 9 3" xfId="2870"/>
    <cellStyle name="Финансовый 3" xfId="527"/>
    <cellStyle name="Финансовый 3 10" xfId="3230"/>
    <cellStyle name="Финансовый 3 10 2" xfId="17919"/>
    <cellStyle name="Финансовый 3 11" xfId="17920"/>
    <cellStyle name="Финансовый 3 2" xfId="528"/>
    <cellStyle name="Финансовый 3 2 2" xfId="529"/>
    <cellStyle name="Финансовый 3 2 2 2" xfId="530"/>
    <cellStyle name="Финансовый 3 2 2 2 2" xfId="531"/>
    <cellStyle name="Финансовый 3 2 2 2 2 2" xfId="820"/>
    <cellStyle name="Финансовый 3 2 2 2 2 2 2" xfId="1942"/>
    <cellStyle name="Финансовый 3 2 2 2 2 2 2 2" xfId="4480"/>
    <cellStyle name="Финансовый 3 2 2 2 2 2 2 2 2" xfId="9598"/>
    <cellStyle name="Финансовый 3 2 2 2 2 2 2 2 2 2" xfId="17921"/>
    <cellStyle name="Финансовый 3 2 2 2 2 2 2 2 3" xfId="17922"/>
    <cellStyle name="Финансовый 3 2 2 2 2 2 2 3" xfId="7542"/>
    <cellStyle name="Финансовый 3 2 2 2 2 2 2 3 2" xfId="17923"/>
    <cellStyle name="Финансовый 3 2 2 2 2 2 2 4" xfId="17924"/>
    <cellStyle name="Финансовый 3 2 2 2 2 2 3" xfId="3452"/>
    <cellStyle name="Финансовый 3 2 2 2 2 2 3 2" xfId="8570"/>
    <cellStyle name="Финансовый 3 2 2 2 2 2 3 2 2" xfId="17925"/>
    <cellStyle name="Финансовый 3 2 2 2 2 2 3 3" xfId="17926"/>
    <cellStyle name="Финансовый 3 2 2 2 2 2 4" xfId="6514"/>
    <cellStyle name="Финансовый 3 2 2 2 2 2 4 2" xfId="17927"/>
    <cellStyle name="Финансовый 3 2 2 2 2 2 5" xfId="17928"/>
    <cellStyle name="Финансовый 3 2 2 2 2 2 6" xfId="17929"/>
    <cellStyle name="Финансовый 3 2 2 2 2 3" xfId="996"/>
    <cellStyle name="Финансовый 3 2 2 2 2 3 2" xfId="2115"/>
    <cellStyle name="Финансовый 3 2 2 2 2 3 2 2" xfId="4653"/>
    <cellStyle name="Финансовый 3 2 2 2 2 3 2 2 2" xfId="9771"/>
    <cellStyle name="Финансовый 3 2 2 2 2 3 2 2 2 2" xfId="17930"/>
    <cellStyle name="Финансовый 3 2 2 2 2 3 2 2 3" xfId="17931"/>
    <cellStyle name="Финансовый 3 2 2 2 2 3 2 3" xfId="7715"/>
    <cellStyle name="Финансовый 3 2 2 2 2 3 2 3 2" xfId="17932"/>
    <cellStyle name="Финансовый 3 2 2 2 2 3 2 4" xfId="17933"/>
    <cellStyle name="Финансовый 3 2 2 2 2 3 3" xfId="3625"/>
    <cellStyle name="Финансовый 3 2 2 2 2 3 3 2" xfId="8743"/>
    <cellStyle name="Финансовый 3 2 2 2 2 3 3 2 2" xfId="17934"/>
    <cellStyle name="Финансовый 3 2 2 2 2 3 3 3" xfId="17935"/>
    <cellStyle name="Финансовый 3 2 2 2 2 3 4" xfId="6687"/>
    <cellStyle name="Финансовый 3 2 2 2 2 3 4 2" xfId="17936"/>
    <cellStyle name="Финансовый 3 2 2 2 2 3 5" xfId="17937"/>
    <cellStyle name="Финансовый 3 2 2 2 2 4" xfId="1167"/>
    <cellStyle name="Финансовый 3 2 2 2 2 4 2" xfId="2286"/>
    <cellStyle name="Финансовый 3 2 2 2 2 4 2 2" xfId="4824"/>
    <cellStyle name="Финансовый 3 2 2 2 2 4 2 2 2" xfId="9942"/>
    <cellStyle name="Финансовый 3 2 2 2 2 4 2 2 2 2" xfId="17938"/>
    <cellStyle name="Финансовый 3 2 2 2 2 4 2 2 3" xfId="17939"/>
    <cellStyle name="Финансовый 3 2 2 2 2 4 2 3" xfId="7886"/>
    <cellStyle name="Финансовый 3 2 2 2 2 4 2 3 2" xfId="17940"/>
    <cellStyle name="Финансовый 3 2 2 2 2 4 2 4" xfId="17941"/>
    <cellStyle name="Финансовый 3 2 2 2 2 4 3" xfId="3796"/>
    <cellStyle name="Финансовый 3 2 2 2 2 4 3 2" xfId="8914"/>
    <cellStyle name="Финансовый 3 2 2 2 2 4 3 2 2" xfId="17942"/>
    <cellStyle name="Финансовый 3 2 2 2 2 4 3 3" xfId="17943"/>
    <cellStyle name="Финансовый 3 2 2 2 2 4 4" xfId="6858"/>
    <cellStyle name="Финансовый 3 2 2 2 2 4 4 2" xfId="17944"/>
    <cellStyle name="Финансовый 3 2 2 2 2 4 5" xfId="17945"/>
    <cellStyle name="Финансовый 3 2 2 2 2 5" xfId="1351"/>
    <cellStyle name="Финансовый 3 2 2 2 2 5 2" xfId="2457"/>
    <cellStyle name="Финансовый 3 2 2 2 2 5 2 2" xfId="4995"/>
    <cellStyle name="Финансовый 3 2 2 2 2 5 2 2 2" xfId="10113"/>
    <cellStyle name="Финансовый 3 2 2 2 2 5 2 2 2 2" xfId="17946"/>
    <cellStyle name="Финансовый 3 2 2 2 2 5 2 2 3" xfId="17947"/>
    <cellStyle name="Финансовый 3 2 2 2 2 5 2 3" xfId="8057"/>
    <cellStyle name="Финансовый 3 2 2 2 2 5 2 3 2" xfId="17948"/>
    <cellStyle name="Финансовый 3 2 2 2 2 5 2 4" xfId="17949"/>
    <cellStyle name="Финансовый 3 2 2 2 2 5 3" xfId="3967"/>
    <cellStyle name="Финансовый 3 2 2 2 2 5 3 2" xfId="9085"/>
    <cellStyle name="Финансовый 3 2 2 2 2 5 3 2 2" xfId="17950"/>
    <cellStyle name="Финансовый 3 2 2 2 2 5 3 3" xfId="17951"/>
    <cellStyle name="Финансовый 3 2 2 2 2 5 4" xfId="7029"/>
    <cellStyle name="Финансовый 3 2 2 2 2 5 4 2" xfId="17952"/>
    <cellStyle name="Финансовый 3 2 2 2 2 5 5" xfId="17953"/>
    <cellStyle name="Финансовый 3 2 2 2 2 6" xfId="1522"/>
    <cellStyle name="Финансовый 3 2 2 2 2 6 2" xfId="2628"/>
    <cellStyle name="Финансовый 3 2 2 2 2 6 2 2" xfId="5166"/>
    <cellStyle name="Финансовый 3 2 2 2 2 6 2 2 2" xfId="10284"/>
    <cellStyle name="Финансовый 3 2 2 2 2 6 2 2 2 2" xfId="17954"/>
    <cellStyle name="Финансовый 3 2 2 2 2 6 2 2 3" xfId="17955"/>
    <cellStyle name="Финансовый 3 2 2 2 2 6 2 3" xfId="8228"/>
    <cellStyle name="Финансовый 3 2 2 2 2 6 2 3 2" xfId="17956"/>
    <cellStyle name="Финансовый 3 2 2 2 2 6 2 4" xfId="17957"/>
    <cellStyle name="Финансовый 3 2 2 2 2 6 3" xfId="4138"/>
    <cellStyle name="Финансовый 3 2 2 2 2 6 3 2" xfId="9256"/>
    <cellStyle name="Финансовый 3 2 2 2 2 6 3 2 2" xfId="17958"/>
    <cellStyle name="Финансовый 3 2 2 2 2 6 3 3" xfId="17959"/>
    <cellStyle name="Финансовый 3 2 2 2 2 6 4" xfId="7200"/>
    <cellStyle name="Финансовый 3 2 2 2 2 6 4 2" xfId="17960"/>
    <cellStyle name="Финансовый 3 2 2 2 2 6 5" xfId="17961"/>
    <cellStyle name="Финансовый 3 2 2 2 2 7" xfId="1693"/>
    <cellStyle name="Финансовый 3 2 2 2 2 7 2" xfId="2799"/>
    <cellStyle name="Финансовый 3 2 2 2 2 7 2 2" xfId="5337"/>
    <cellStyle name="Финансовый 3 2 2 2 2 7 2 2 2" xfId="10455"/>
    <cellStyle name="Финансовый 3 2 2 2 2 7 2 2 2 2" xfId="17962"/>
    <cellStyle name="Финансовый 3 2 2 2 2 7 2 2 3" xfId="17963"/>
    <cellStyle name="Финансовый 3 2 2 2 2 7 2 3" xfId="8399"/>
    <cellStyle name="Финансовый 3 2 2 2 2 7 2 3 2" xfId="17964"/>
    <cellStyle name="Финансовый 3 2 2 2 2 7 2 4" xfId="17965"/>
    <cellStyle name="Финансовый 3 2 2 2 2 7 3" xfId="4309"/>
    <cellStyle name="Финансовый 3 2 2 2 2 7 3 2" xfId="9427"/>
    <cellStyle name="Финансовый 3 2 2 2 2 7 3 2 2" xfId="17966"/>
    <cellStyle name="Финансовый 3 2 2 2 2 7 3 3" xfId="17967"/>
    <cellStyle name="Финансовый 3 2 2 2 2 7 4" xfId="7371"/>
    <cellStyle name="Финансовый 3 2 2 2 2 7 4 2" xfId="17968"/>
    <cellStyle name="Финансовый 3 2 2 2 2 7 5" xfId="17969"/>
    <cellStyle name="Финансовый 3 2 2 2 2 8" xfId="1759"/>
    <cellStyle name="Финансовый 3 2 2 2 2 9" xfId="3145"/>
    <cellStyle name="Финансовый 3 2 2 2 3" xfId="532"/>
    <cellStyle name="Финансовый 3 2 2 2 3 2" xfId="3146"/>
    <cellStyle name="Финансовый 3 2 2 2 3 3" xfId="2894"/>
    <cellStyle name="Финансовый 3 2 2 2 4" xfId="17970"/>
    <cellStyle name="Финансовый 3 2 2 3" xfId="533"/>
    <cellStyle name="Финансовый 3 2 2 3 2" xfId="534"/>
    <cellStyle name="Финансовый 3 2 2 3 2 2" xfId="821"/>
    <cellStyle name="Финансовый 3 2 2 3 2 2 2" xfId="1943"/>
    <cellStyle name="Финансовый 3 2 2 3 2 2 2 2" xfId="4481"/>
    <cellStyle name="Финансовый 3 2 2 3 2 2 2 2 2" xfId="9599"/>
    <cellStyle name="Финансовый 3 2 2 3 2 2 2 2 2 2" xfId="17971"/>
    <cellStyle name="Финансовый 3 2 2 3 2 2 2 2 3" xfId="17972"/>
    <cellStyle name="Финансовый 3 2 2 3 2 2 2 3" xfId="7543"/>
    <cellStyle name="Финансовый 3 2 2 3 2 2 2 3 2" xfId="17973"/>
    <cellStyle name="Финансовый 3 2 2 3 2 2 2 4" xfId="17974"/>
    <cellStyle name="Финансовый 3 2 2 3 2 2 3" xfId="3453"/>
    <cellStyle name="Финансовый 3 2 2 3 2 2 3 2" xfId="8571"/>
    <cellStyle name="Финансовый 3 2 2 3 2 2 3 2 2" xfId="17975"/>
    <cellStyle name="Финансовый 3 2 2 3 2 2 3 3" xfId="17976"/>
    <cellStyle name="Финансовый 3 2 2 3 2 2 4" xfId="6515"/>
    <cellStyle name="Финансовый 3 2 2 3 2 2 4 2" xfId="17977"/>
    <cellStyle name="Финансовый 3 2 2 3 2 2 5" xfId="17978"/>
    <cellStyle name="Финансовый 3 2 2 3 2 2 6" xfId="17979"/>
    <cellStyle name="Финансовый 3 2 2 3 2 3" xfId="997"/>
    <cellStyle name="Финансовый 3 2 2 3 2 3 2" xfId="2116"/>
    <cellStyle name="Финансовый 3 2 2 3 2 3 2 2" xfId="4654"/>
    <cellStyle name="Финансовый 3 2 2 3 2 3 2 2 2" xfId="9772"/>
    <cellStyle name="Финансовый 3 2 2 3 2 3 2 2 2 2" xfId="17980"/>
    <cellStyle name="Финансовый 3 2 2 3 2 3 2 2 3" xfId="17981"/>
    <cellStyle name="Финансовый 3 2 2 3 2 3 2 3" xfId="7716"/>
    <cellStyle name="Финансовый 3 2 2 3 2 3 2 3 2" xfId="17982"/>
    <cellStyle name="Финансовый 3 2 2 3 2 3 2 4" xfId="17983"/>
    <cellStyle name="Финансовый 3 2 2 3 2 3 3" xfId="3626"/>
    <cellStyle name="Финансовый 3 2 2 3 2 3 3 2" xfId="8744"/>
    <cellStyle name="Финансовый 3 2 2 3 2 3 3 2 2" xfId="17984"/>
    <cellStyle name="Финансовый 3 2 2 3 2 3 3 3" xfId="17985"/>
    <cellStyle name="Финансовый 3 2 2 3 2 3 4" xfId="6688"/>
    <cellStyle name="Финансовый 3 2 2 3 2 3 4 2" xfId="17986"/>
    <cellStyle name="Финансовый 3 2 2 3 2 3 5" xfId="17987"/>
    <cellStyle name="Финансовый 3 2 2 3 2 4" xfId="1168"/>
    <cellStyle name="Финансовый 3 2 2 3 2 4 2" xfId="2287"/>
    <cellStyle name="Финансовый 3 2 2 3 2 4 2 2" xfId="4825"/>
    <cellStyle name="Финансовый 3 2 2 3 2 4 2 2 2" xfId="9943"/>
    <cellStyle name="Финансовый 3 2 2 3 2 4 2 2 2 2" xfId="17988"/>
    <cellStyle name="Финансовый 3 2 2 3 2 4 2 2 3" xfId="17989"/>
    <cellStyle name="Финансовый 3 2 2 3 2 4 2 3" xfId="7887"/>
    <cellStyle name="Финансовый 3 2 2 3 2 4 2 3 2" xfId="17990"/>
    <cellStyle name="Финансовый 3 2 2 3 2 4 2 4" xfId="17991"/>
    <cellStyle name="Финансовый 3 2 2 3 2 4 3" xfId="3797"/>
    <cellStyle name="Финансовый 3 2 2 3 2 4 3 2" xfId="8915"/>
    <cellStyle name="Финансовый 3 2 2 3 2 4 3 2 2" xfId="17992"/>
    <cellStyle name="Финансовый 3 2 2 3 2 4 3 3" xfId="17993"/>
    <cellStyle name="Финансовый 3 2 2 3 2 4 4" xfId="6859"/>
    <cellStyle name="Финансовый 3 2 2 3 2 4 4 2" xfId="17994"/>
    <cellStyle name="Финансовый 3 2 2 3 2 4 5" xfId="17995"/>
    <cellStyle name="Финансовый 3 2 2 3 2 5" xfId="1352"/>
    <cellStyle name="Финансовый 3 2 2 3 2 5 2" xfId="2458"/>
    <cellStyle name="Финансовый 3 2 2 3 2 5 2 2" xfId="4996"/>
    <cellStyle name="Финансовый 3 2 2 3 2 5 2 2 2" xfId="10114"/>
    <cellStyle name="Финансовый 3 2 2 3 2 5 2 2 2 2" xfId="17996"/>
    <cellStyle name="Финансовый 3 2 2 3 2 5 2 2 3" xfId="17997"/>
    <cellStyle name="Финансовый 3 2 2 3 2 5 2 3" xfId="8058"/>
    <cellStyle name="Финансовый 3 2 2 3 2 5 2 3 2" xfId="17998"/>
    <cellStyle name="Финансовый 3 2 2 3 2 5 2 4" xfId="17999"/>
    <cellStyle name="Финансовый 3 2 2 3 2 5 3" xfId="3968"/>
    <cellStyle name="Финансовый 3 2 2 3 2 5 3 2" xfId="9086"/>
    <cellStyle name="Финансовый 3 2 2 3 2 5 3 2 2" xfId="18000"/>
    <cellStyle name="Финансовый 3 2 2 3 2 5 3 3" xfId="18001"/>
    <cellStyle name="Финансовый 3 2 2 3 2 5 4" xfId="7030"/>
    <cellStyle name="Финансовый 3 2 2 3 2 5 4 2" xfId="18002"/>
    <cellStyle name="Финансовый 3 2 2 3 2 5 5" xfId="18003"/>
    <cellStyle name="Финансовый 3 2 2 3 2 6" xfId="1523"/>
    <cellStyle name="Финансовый 3 2 2 3 2 6 2" xfId="2629"/>
    <cellStyle name="Финансовый 3 2 2 3 2 6 2 2" xfId="5167"/>
    <cellStyle name="Финансовый 3 2 2 3 2 6 2 2 2" xfId="10285"/>
    <cellStyle name="Финансовый 3 2 2 3 2 6 2 2 2 2" xfId="18004"/>
    <cellStyle name="Финансовый 3 2 2 3 2 6 2 2 3" xfId="18005"/>
    <cellStyle name="Финансовый 3 2 2 3 2 6 2 3" xfId="8229"/>
    <cellStyle name="Финансовый 3 2 2 3 2 6 2 3 2" xfId="18006"/>
    <cellStyle name="Финансовый 3 2 2 3 2 6 2 4" xfId="18007"/>
    <cellStyle name="Финансовый 3 2 2 3 2 6 3" xfId="4139"/>
    <cellStyle name="Финансовый 3 2 2 3 2 6 3 2" xfId="9257"/>
    <cellStyle name="Финансовый 3 2 2 3 2 6 3 2 2" xfId="18008"/>
    <cellStyle name="Финансовый 3 2 2 3 2 6 3 3" xfId="18009"/>
    <cellStyle name="Финансовый 3 2 2 3 2 6 4" xfId="7201"/>
    <cellStyle name="Финансовый 3 2 2 3 2 6 4 2" xfId="18010"/>
    <cellStyle name="Финансовый 3 2 2 3 2 6 5" xfId="18011"/>
    <cellStyle name="Финансовый 3 2 2 3 2 7" xfId="1694"/>
    <cellStyle name="Финансовый 3 2 2 3 2 7 2" xfId="2800"/>
    <cellStyle name="Финансовый 3 2 2 3 2 7 2 2" xfId="5338"/>
    <cellStyle name="Финансовый 3 2 2 3 2 7 2 2 2" xfId="10456"/>
    <cellStyle name="Финансовый 3 2 2 3 2 7 2 2 2 2" xfId="18012"/>
    <cellStyle name="Финансовый 3 2 2 3 2 7 2 2 3" xfId="18013"/>
    <cellStyle name="Финансовый 3 2 2 3 2 7 2 3" xfId="8400"/>
    <cellStyle name="Финансовый 3 2 2 3 2 7 2 3 2" xfId="18014"/>
    <cellStyle name="Финансовый 3 2 2 3 2 7 2 4" xfId="18015"/>
    <cellStyle name="Финансовый 3 2 2 3 2 7 3" xfId="4310"/>
    <cellStyle name="Финансовый 3 2 2 3 2 7 3 2" xfId="9428"/>
    <cellStyle name="Финансовый 3 2 2 3 2 7 3 2 2" xfId="18016"/>
    <cellStyle name="Финансовый 3 2 2 3 2 7 3 3" xfId="18017"/>
    <cellStyle name="Финансовый 3 2 2 3 2 7 4" xfId="7372"/>
    <cellStyle name="Финансовый 3 2 2 3 2 7 4 2" xfId="18018"/>
    <cellStyle name="Финансовый 3 2 2 3 2 7 5" xfId="18019"/>
    <cellStyle name="Финансовый 3 2 2 3 2 8" xfId="1760"/>
    <cellStyle name="Финансовый 3 2 2 3 2 9" xfId="3147"/>
    <cellStyle name="Финансовый 3 2 2 3 3" xfId="535"/>
    <cellStyle name="Финансовый 3 2 2 3 3 2" xfId="3148"/>
    <cellStyle name="Финансовый 3 2 2 3 3 3" xfId="2895"/>
    <cellStyle name="Финансовый 3 2 2 3 4" xfId="18020"/>
    <cellStyle name="Финансовый 3 2 2 4" xfId="536"/>
    <cellStyle name="Финансовый 3 2 2 4 2" xfId="822"/>
    <cellStyle name="Финансовый 3 2 2 4 2 2" xfId="1944"/>
    <cellStyle name="Финансовый 3 2 2 4 2 2 2" xfId="4482"/>
    <cellStyle name="Финансовый 3 2 2 4 2 2 2 2" xfId="9600"/>
    <cellStyle name="Финансовый 3 2 2 4 2 2 2 2 2" xfId="18021"/>
    <cellStyle name="Финансовый 3 2 2 4 2 2 2 3" xfId="18022"/>
    <cellStyle name="Финансовый 3 2 2 4 2 2 3" xfId="7544"/>
    <cellStyle name="Финансовый 3 2 2 4 2 2 3 2" xfId="18023"/>
    <cellStyle name="Финансовый 3 2 2 4 2 2 4" xfId="18024"/>
    <cellStyle name="Финансовый 3 2 2 4 2 3" xfId="3454"/>
    <cellStyle name="Финансовый 3 2 2 4 2 3 2" xfId="8572"/>
    <cellStyle name="Финансовый 3 2 2 4 2 3 2 2" xfId="18025"/>
    <cellStyle name="Финансовый 3 2 2 4 2 3 3" xfId="18026"/>
    <cellStyle name="Финансовый 3 2 2 4 2 4" xfId="6516"/>
    <cellStyle name="Финансовый 3 2 2 4 2 4 2" xfId="18027"/>
    <cellStyle name="Финансовый 3 2 2 4 2 5" xfId="18028"/>
    <cellStyle name="Финансовый 3 2 2 4 2 6" xfId="18029"/>
    <cellStyle name="Финансовый 3 2 2 4 3" xfId="998"/>
    <cellStyle name="Финансовый 3 2 2 4 3 2" xfId="2117"/>
    <cellStyle name="Финансовый 3 2 2 4 3 2 2" xfId="4655"/>
    <cellStyle name="Финансовый 3 2 2 4 3 2 2 2" xfId="9773"/>
    <cellStyle name="Финансовый 3 2 2 4 3 2 2 2 2" xfId="18030"/>
    <cellStyle name="Финансовый 3 2 2 4 3 2 2 3" xfId="18031"/>
    <cellStyle name="Финансовый 3 2 2 4 3 2 3" xfId="7717"/>
    <cellStyle name="Финансовый 3 2 2 4 3 2 3 2" xfId="18032"/>
    <cellStyle name="Финансовый 3 2 2 4 3 2 4" xfId="18033"/>
    <cellStyle name="Финансовый 3 2 2 4 3 3" xfId="3627"/>
    <cellStyle name="Финансовый 3 2 2 4 3 3 2" xfId="8745"/>
    <cellStyle name="Финансовый 3 2 2 4 3 3 2 2" xfId="18034"/>
    <cellStyle name="Финансовый 3 2 2 4 3 3 3" xfId="18035"/>
    <cellStyle name="Финансовый 3 2 2 4 3 4" xfId="6689"/>
    <cellStyle name="Финансовый 3 2 2 4 3 4 2" xfId="18036"/>
    <cellStyle name="Финансовый 3 2 2 4 3 5" xfId="18037"/>
    <cellStyle name="Финансовый 3 2 2 4 4" xfId="1169"/>
    <cellStyle name="Финансовый 3 2 2 4 4 2" xfId="2288"/>
    <cellStyle name="Финансовый 3 2 2 4 4 2 2" xfId="4826"/>
    <cellStyle name="Финансовый 3 2 2 4 4 2 2 2" xfId="9944"/>
    <cellStyle name="Финансовый 3 2 2 4 4 2 2 2 2" xfId="18038"/>
    <cellStyle name="Финансовый 3 2 2 4 4 2 2 3" xfId="18039"/>
    <cellStyle name="Финансовый 3 2 2 4 4 2 3" xfId="7888"/>
    <cellStyle name="Финансовый 3 2 2 4 4 2 3 2" xfId="18040"/>
    <cellStyle name="Финансовый 3 2 2 4 4 2 4" xfId="18041"/>
    <cellStyle name="Финансовый 3 2 2 4 4 3" xfId="3798"/>
    <cellStyle name="Финансовый 3 2 2 4 4 3 2" xfId="8916"/>
    <cellStyle name="Финансовый 3 2 2 4 4 3 2 2" xfId="18042"/>
    <cellStyle name="Финансовый 3 2 2 4 4 3 3" xfId="18043"/>
    <cellStyle name="Финансовый 3 2 2 4 4 4" xfId="6860"/>
    <cellStyle name="Финансовый 3 2 2 4 4 4 2" xfId="18044"/>
    <cellStyle name="Финансовый 3 2 2 4 4 5" xfId="18045"/>
    <cellStyle name="Финансовый 3 2 2 4 5" xfId="1353"/>
    <cellStyle name="Финансовый 3 2 2 4 5 2" xfId="2459"/>
    <cellStyle name="Финансовый 3 2 2 4 5 2 2" xfId="4997"/>
    <cellStyle name="Финансовый 3 2 2 4 5 2 2 2" xfId="10115"/>
    <cellStyle name="Финансовый 3 2 2 4 5 2 2 2 2" xfId="18046"/>
    <cellStyle name="Финансовый 3 2 2 4 5 2 2 3" xfId="18047"/>
    <cellStyle name="Финансовый 3 2 2 4 5 2 3" xfId="8059"/>
    <cellStyle name="Финансовый 3 2 2 4 5 2 3 2" xfId="18048"/>
    <cellStyle name="Финансовый 3 2 2 4 5 2 4" xfId="18049"/>
    <cellStyle name="Финансовый 3 2 2 4 5 3" xfId="3969"/>
    <cellStyle name="Финансовый 3 2 2 4 5 3 2" xfId="9087"/>
    <cellStyle name="Финансовый 3 2 2 4 5 3 2 2" xfId="18050"/>
    <cellStyle name="Финансовый 3 2 2 4 5 3 3" xfId="18051"/>
    <cellStyle name="Финансовый 3 2 2 4 5 4" xfId="7031"/>
    <cellStyle name="Финансовый 3 2 2 4 5 4 2" xfId="18052"/>
    <cellStyle name="Финансовый 3 2 2 4 5 5" xfId="18053"/>
    <cellStyle name="Финансовый 3 2 2 4 6" xfId="1524"/>
    <cellStyle name="Финансовый 3 2 2 4 6 2" xfId="2630"/>
    <cellStyle name="Финансовый 3 2 2 4 6 2 2" xfId="5168"/>
    <cellStyle name="Финансовый 3 2 2 4 6 2 2 2" xfId="10286"/>
    <cellStyle name="Финансовый 3 2 2 4 6 2 2 2 2" xfId="18054"/>
    <cellStyle name="Финансовый 3 2 2 4 6 2 2 3" xfId="18055"/>
    <cellStyle name="Финансовый 3 2 2 4 6 2 3" xfId="8230"/>
    <cellStyle name="Финансовый 3 2 2 4 6 2 3 2" xfId="18056"/>
    <cellStyle name="Финансовый 3 2 2 4 6 2 4" xfId="18057"/>
    <cellStyle name="Финансовый 3 2 2 4 6 3" xfId="4140"/>
    <cellStyle name="Финансовый 3 2 2 4 6 3 2" xfId="9258"/>
    <cellStyle name="Финансовый 3 2 2 4 6 3 2 2" xfId="18058"/>
    <cellStyle name="Финансовый 3 2 2 4 6 3 3" xfId="18059"/>
    <cellStyle name="Финансовый 3 2 2 4 6 4" xfId="7202"/>
    <cellStyle name="Финансовый 3 2 2 4 6 4 2" xfId="18060"/>
    <cellStyle name="Финансовый 3 2 2 4 6 5" xfId="18061"/>
    <cellStyle name="Финансовый 3 2 2 4 7" xfId="1695"/>
    <cellStyle name="Финансовый 3 2 2 4 7 2" xfId="2801"/>
    <cellStyle name="Финансовый 3 2 2 4 7 2 2" xfId="5339"/>
    <cellStyle name="Финансовый 3 2 2 4 7 2 2 2" xfId="10457"/>
    <cellStyle name="Финансовый 3 2 2 4 7 2 2 2 2" xfId="18062"/>
    <cellStyle name="Финансовый 3 2 2 4 7 2 2 3" xfId="18063"/>
    <cellStyle name="Финансовый 3 2 2 4 7 2 3" xfId="8401"/>
    <cellStyle name="Финансовый 3 2 2 4 7 2 3 2" xfId="18064"/>
    <cellStyle name="Финансовый 3 2 2 4 7 2 4" xfId="18065"/>
    <cellStyle name="Финансовый 3 2 2 4 7 3" xfId="4311"/>
    <cellStyle name="Финансовый 3 2 2 4 7 3 2" xfId="9429"/>
    <cellStyle name="Финансовый 3 2 2 4 7 3 2 2" xfId="18066"/>
    <cellStyle name="Финансовый 3 2 2 4 7 3 3" xfId="18067"/>
    <cellStyle name="Финансовый 3 2 2 4 7 4" xfId="7373"/>
    <cellStyle name="Финансовый 3 2 2 4 7 4 2" xfId="18068"/>
    <cellStyle name="Финансовый 3 2 2 4 7 5" xfId="18069"/>
    <cellStyle name="Финансовый 3 2 2 4 8" xfId="1761"/>
    <cellStyle name="Финансовый 3 2 2 4 9" xfId="3149"/>
    <cellStyle name="Финансовый 3 2 2 5" xfId="537"/>
    <cellStyle name="Финансовый 3 2 2 5 2" xfId="3150"/>
    <cellStyle name="Финансовый 3 2 2 5 3" xfId="2893"/>
    <cellStyle name="Финансовый 3 2 2 6" xfId="18070"/>
    <cellStyle name="Финансовый 3 2 3" xfId="538"/>
    <cellStyle name="Финансовый 3 2 3 2" xfId="539"/>
    <cellStyle name="Финансовый 3 2 3 2 2" xfId="823"/>
    <cellStyle name="Финансовый 3 2 3 2 2 2" xfId="1945"/>
    <cellStyle name="Финансовый 3 2 3 2 2 2 2" xfId="4483"/>
    <cellStyle name="Финансовый 3 2 3 2 2 2 2 2" xfId="9601"/>
    <cellStyle name="Финансовый 3 2 3 2 2 2 2 2 2" xfId="18071"/>
    <cellStyle name="Финансовый 3 2 3 2 2 2 2 3" xfId="18072"/>
    <cellStyle name="Финансовый 3 2 3 2 2 2 3" xfId="7545"/>
    <cellStyle name="Финансовый 3 2 3 2 2 2 3 2" xfId="18073"/>
    <cellStyle name="Финансовый 3 2 3 2 2 2 4" xfId="18074"/>
    <cellStyle name="Финансовый 3 2 3 2 2 3" xfId="3455"/>
    <cellStyle name="Финансовый 3 2 3 2 2 3 2" xfId="8573"/>
    <cellStyle name="Финансовый 3 2 3 2 2 3 2 2" xfId="18075"/>
    <cellStyle name="Финансовый 3 2 3 2 2 3 3" xfId="18076"/>
    <cellStyle name="Финансовый 3 2 3 2 2 4" xfId="6517"/>
    <cellStyle name="Финансовый 3 2 3 2 2 4 2" xfId="18077"/>
    <cellStyle name="Финансовый 3 2 3 2 2 5" xfId="18078"/>
    <cellStyle name="Финансовый 3 2 3 2 2 6" xfId="18079"/>
    <cellStyle name="Финансовый 3 2 3 2 3" xfId="999"/>
    <cellStyle name="Финансовый 3 2 3 2 3 2" xfId="2118"/>
    <cellStyle name="Финансовый 3 2 3 2 3 2 2" xfId="4656"/>
    <cellStyle name="Финансовый 3 2 3 2 3 2 2 2" xfId="9774"/>
    <cellStyle name="Финансовый 3 2 3 2 3 2 2 2 2" xfId="18080"/>
    <cellStyle name="Финансовый 3 2 3 2 3 2 2 3" xfId="18081"/>
    <cellStyle name="Финансовый 3 2 3 2 3 2 3" xfId="7718"/>
    <cellStyle name="Финансовый 3 2 3 2 3 2 3 2" xfId="18082"/>
    <cellStyle name="Финансовый 3 2 3 2 3 2 4" xfId="18083"/>
    <cellStyle name="Финансовый 3 2 3 2 3 3" xfId="3628"/>
    <cellStyle name="Финансовый 3 2 3 2 3 3 2" xfId="8746"/>
    <cellStyle name="Финансовый 3 2 3 2 3 3 2 2" xfId="18084"/>
    <cellStyle name="Финансовый 3 2 3 2 3 3 3" xfId="18085"/>
    <cellStyle name="Финансовый 3 2 3 2 3 4" xfId="6690"/>
    <cellStyle name="Финансовый 3 2 3 2 3 4 2" xfId="18086"/>
    <cellStyle name="Финансовый 3 2 3 2 3 5" xfId="18087"/>
    <cellStyle name="Финансовый 3 2 3 2 4" xfId="1170"/>
    <cellStyle name="Финансовый 3 2 3 2 4 2" xfId="2289"/>
    <cellStyle name="Финансовый 3 2 3 2 4 2 2" xfId="4827"/>
    <cellStyle name="Финансовый 3 2 3 2 4 2 2 2" xfId="9945"/>
    <cellStyle name="Финансовый 3 2 3 2 4 2 2 2 2" xfId="18088"/>
    <cellStyle name="Финансовый 3 2 3 2 4 2 2 3" xfId="18089"/>
    <cellStyle name="Финансовый 3 2 3 2 4 2 3" xfId="7889"/>
    <cellStyle name="Финансовый 3 2 3 2 4 2 3 2" xfId="18090"/>
    <cellStyle name="Финансовый 3 2 3 2 4 2 4" xfId="18091"/>
    <cellStyle name="Финансовый 3 2 3 2 4 3" xfId="3799"/>
    <cellStyle name="Финансовый 3 2 3 2 4 3 2" xfId="8917"/>
    <cellStyle name="Финансовый 3 2 3 2 4 3 2 2" xfId="18092"/>
    <cellStyle name="Финансовый 3 2 3 2 4 3 3" xfId="18093"/>
    <cellStyle name="Финансовый 3 2 3 2 4 4" xfId="6861"/>
    <cellStyle name="Финансовый 3 2 3 2 4 4 2" xfId="18094"/>
    <cellStyle name="Финансовый 3 2 3 2 4 5" xfId="18095"/>
    <cellStyle name="Финансовый 3 2 3 2 5" xfId="1354"/>
    <cellStyle name="Финансовый 3 2 3 2 5 2" xfId="2460"/>
    <cellStyle name="Финансовый 3 2 3 2 5 2 2" xfId="4998"/>
    <cellStyle name="Финансовый 3 2 3 2 5 2 2 2" xfId="10116"/>
    <cellStyle name="Финансовый 3 2 3 2 5 2 2 2 2" xfId="18096"/>
    <cellStyle name="Финансовый 3 2 3 2 5 2 2 3" xfId="18097"/>
    <cellStyle name="Финансовый 3 2 3 2 5 2 3" xfId="8060"/>
    <cellStyle name="Финансовый 3 2 3 2 5 2 3 2" xfId="18098"/>
    <cellStyle name="Финансовый 3 2 3 2 5 2 4" xfId="18099"/>
    <cellStyle name="Финансовый 3 2 3 2 5 3" xfId="3970"/>
    <cellStyle name="Финансовый 3 2 3 2 5 3 2" xfId="9088"/>
    <cellStyle name="Финансовый 3 2 3 2 5 3 2 2" xfId="18100"/>
    <cellStyle name="Финансовый 3 2 3 2 5 3 3" xfId="18101"/>
    <cellStyle name="Финансовый 3 2 3 2 5 4" xfId="7032"/>
    <cellStyle name="Финансовый 3 2 3 2 5 4 2" xfId="18102"/>
    <cellStyle name="Финансовый 3 2 3 2 5 5" xfId="18103"/>
    <cellStyle name="Финансовый 3 2 3 2 6" xfId="1525"/>
    <cellStyle name="Финансовый 3 2 3 2 6 2" xfId="2631"/>
    <cellStyle name="Финансовый 3 2 3 2 6 2 2" xfId="5169"/>
    <cellStyle name="Финансовый 3 2 3 2 6 2 2 2" xfId="10287"/>
    <cellStyle name="Финансовый 3 2 3 2 6 2 2 2 2" xfId="18104"/>
    <cellStyle name="Финансовый 3 2 3 2 6 2 2 3" xfId="18105"/>
    <cellStyle name="Финансовый 3 2 3 2 6 2 3" xfId="8231"/>
    <cellStyle name="Финансовый 3 2 3 2 6 2 3 2" xfId="18106"/>
    <cellStyle name="Финансовый 3 2 3 2 6 2 4" xfId="18107"/>
    <cellStyle name="Финансовый 3 2 3 2 6 3" xfId="4141"/>
    <cellStyle name="Финансовый 3 2 3 2 6 3 2" xfId="9259"/>
    <cellStyle name="Финансовый 3 2 3 2 6 3 2 2" xfId="18108"/>
    <cellStyle name="Финансовый 3 2 3 2 6 3 3" xfId="18109"/>
    <cellStyle name="Финансовый 3 2 3 2 6 4" xfId="7203"/>
    <cellStyle name="Финансовый 3 2 3 2 6 4 2" xfId="18110"/>
    <cellStyle name="Финансовый 3 2 3 2 6 5" xfId="18111"/>
    <cellStyle name="Финансовый 3 2 3 2 7" xfId="1696"/>
    <cellStyle name="Финансовый 3 2 3 2 7 2" xfId="2802"/>
    <cellStyle name="Финансовый 3 2 3 2 7 2 2" xfId="5340"/>
    <cellStyle name="Финансовый 3 2 3 2 7 2 2 2" xfId="10458"/>
    <cellStyle name="Финансовый 3 2 3 2 7 2 2 2 2" xfId="18112"/>
    <cellStyle name="Финансовый 3 2 3 2 7 2 2 3" xfId="18113"/>
    <cellStyle name="Финансовый 3 2 3 2 7 2 3" xfId="8402"/>
    <cellStyle name="Финансовый 3 2 3 2 7 2 3 2" xfId="18114"/>
    <cellStyle name="Финансовый 3 2 3 2 7 2 4" xfId="18115"/>
    <cellStyle name="Финансовый 3 2 3 2 7 3" xfId="4312"/>
    <cellStyle name="Финансовый 3 2 3 2 7 3 2" xfId="9430"/>
    <cellStyle name="Финансовый 3 2 3 2 7 3 2 2" xfId="18116"/>
    <cellStyle name="Финансовый 3 2 3 2 7 3 3" xfId="18117"/>
    <cellStyle name="Финансовый 3 2 3 2 7 4" xfId="7374"/>
    <cellStyle name="Финансовый 3 2 3 2 7 4 2" xfId="18118"/>
    <cellStyle name="Финансовый 3 2 3 2 7 5" xfId="18119"/>
    <cellStyle name="Финансовый 3 2 3 2 8" xfId="1762"/>
    <cellStyle name="Финансовый 3 2 3 2 9" xfId="3151"/>
    <cellStyle name="Финансовый 3 2 3 3" xfId="540"/>
    <cellStyle name="Финансовый 3 2 3 3 2" xfId="3152"/>
    <cellStyle name="Финансовый 3 2 3 3 3" xfId="2896"/>
    <cellStyle name="Финансовый 3 2 3 4" xfId="18120"/>
    <cellStyle name="Финансовый 3 2 4" xfId="541"/>
    <cellStyle name="Финансовый 3 2 4 2" xfId="542"/>
    <cellStyle name="Финансовый 3 2 4 2 2" xfId="824"/>
    <cellStyle name="Финансовый 3 2 4 2 2 2" xfId="1946"/>
    <cellStyle name="Финансовый 3 2 4 2 2 2 2" xfId="4484"/>
    <cellStyle name="Финансовый 3 2 4 2 2 2 2 2" xfId="9602"/>
    <cellStyle name="Финансовый 3 2 4 2 2 2 2 2 2" xfId="18121"/>
    <cellStyle name="Финансовый 3 2 4 2 2 2 2 3" xfId="18122"/>
    <cellStyle name="Финансовый 3 2 4 2 2 2 3" xfId="7546"/>
    <cellStyle name="Финансовый 3 2 4 2 2 2 3 2" xfId="18123"/>
    <cellStyle name="Финансовый 3 2 4 2 2 2 4" xfId="18124"/>
    <cellStyle name="Финансовый 3 2 4 2 2 3" xfId="3456"/>
    <cellStyle name="Финансовый 3 2 4 2 2 3 2" xfId="8574"/>
    <cellStyle name="Финансовый 3 2 4 2 2 3 2 2" xfId="18125"/>
    <cellStyle name="Финансовый 3 2 4 2 2 3 3" xfId="18126"/>
    <cellStyle name="Финансовый 3 2 4 2 2 4" xfId="6518"/>
    <cellStyle name="Финансовый 3 2 4 2 2 4 2" xfId="18127"/>
    <cellStyle name="Финансовый 3 2 4 2 2 5" xfId="18128"/>
    <cellStyle name="Финансовый 3 2 4 2 2 6" xfId="18129"/>
    <cellStyle name="Финансовый 3 2 4 2 3" xfId="1000"/>
    <cellStyle name="Финансовый 3 2 4 2 3 2" xfId="2119"/>
    <cellStyle name="Финансовый 3 2 4 2 3 2 2" xfId="4657"/>
    <cellStyle name="Финансовый 3 2 4 2 3 2 2 2" xfId="9775"/>
    <cellStyle name="Финансовый 3 2 4 2 3 2 2 2 2" xfId="18130"/>
    <cellStyle name="Финансовый 3 2 4 2 3 2 2 3" xfId="18131"/>
    <cellStyle name="Финансовый 3 2 4 2 3 2 3" xfId="7719"/>
    <cellStyle name="Финансовый 3 2 4 2 3 2 3 2" xfId="18132"/>
    <cellStyle name="Финансовый 3 2 4 2 3 2 4" xfId="18133"/>
    <cellStyle name="Финансовый 3 2 4 2 3 3" xfId="3629"/>
    <cellStyle name="Финансовый 3 2 4 2 3 3 2" xfId="8747"/>
    <cellStyle name="Финансовый 3 2 4 2 3 3 2 2" xfId="18134"/>
    <cellStyle name="Финансовый 3 2 4 2 3 3 3" xfId="18135"/>
    <cellStyle name="Финансовый 3 2 4 2 3 4" xfId="6691"/>
    <cellStyle name="Финансовый 3 2 4 2 3 4 2" xfId="18136"/>
    <cellStyle name="Финансовый 3 2 4 2 3 5" xfId="18137"/>
    <cellStyle name="Финансовый 3 2 4 2 4" xfId="1171"/>
    <cellStyle name="Финансовый 3 2 4 2 4 2" xfId="2290"/>
    <cellStyle name="Финансовый 3 2 4 2 4 2 2" xfId="4828"/>
    <cellStyle name="Финансовый 3 2 4 2 4 2 2 2" xfId="9946"/>
    <cellStyle name="Финансовый 3 2 4 2 4 2 2 2 2" xfId="18138"/>
    <cellStyle name="Финансовый 3 2 4 2 4 2 2 3" xfId="18139"/>
    <cellStyle name="Финансовый 3 2 4 2 4 2 3" xfId="7890"/>
    <cellStyle name="Финансовый 3 2 4 2 4 2 3 2" xfId="18140"/>
    <cellStyle name="Финансовый 3 2 4 2 4 2 4" xfId="18141"/>
    <cellStyle name="Финансовый 3 2 4 2 4 3" xfId="3800"/>
    <cellStyle name="Финансовый 3 2 4 2 4 3 2" xfId="8918"/>
    <cellStyle name="Финансовый 3 2 4 2 4 3 2 2" xfId="18142"/>
    <cellStyle name="Финансовый 3 2 4 2 4 3 3" xfId="18143"/>
    <cellStyle name="Финансовый 3 2 4 2 4 4" xfId="6862"/>
    <cellStyle name="Финансовый 3 2 4 2 4 4 2" xfId="18144"/>
    <cellStyle name="Финансовый 3 2 4 2 4 5" xfId="18145"/>
    <cellStyle name="Финансовый 3 2 4 2 5" xfId="1355"/>
    <cellStyle name="Финансовый 3 2 4 2 5 2" xfId="2461"/>
    <cellStyle name="Финансовый 3 2 4 2 5 2 2" xfId="4999"/>
    <cellStyle name="Финансовый 3 2 4 2 5 2 2 2" xfId="10117"/>
    <cellStyle name="Финансовый 3 2 4 2 5 2 2 2 2" xfId="18146"/>
    <cellStyle name="Финансовый 3 2 4 2 5 2 2 3" xfId="18147"/>
    <cellStyle name="Финансовый 3 2 4 2 5 2 3" xfId="8061"/>
    <cellStyle name="Финансовый 3 2 4 2 5 2 3 2" xfId="18148"/>
    <cellStyle name="Финансовый 3 2 4 2 5 2 4" xfId="18149"/>
    <cellStyle name="Финансовый 3 2 4 2 5 3" xfId="3971"/>
    <cellStyle name="Финансовый 3 2 4 2 5 3 2" xfId="9089"/>
    <cellStyle name="Финансовый 3 2 4 2 5 3 2 2" xfId="18150"/>
    <cellStyle name="Финансовый 3 2 4 2 5 3 3" xfId="18151"/>
    <cellStyle name="Финансовый 3 2 4 2 5 4" xfId="7033"/>
    <cellStyle name="Финансовый 3 2 4 2 5 4 2" xfId="18152"/>
    <cellStyle name="Финансовый 3 2 4 2 5 5" xfId="18153"/>
    <cellStyle name="Финансовый 3 2 4 2 6" xfId="1526"/>
    <cellStyle name="Финансовый 3 2 4 2 6 2" xfId="2632"/>
    <cellStyle name="Финансовый 3 2 4 2 6 2 2" xfId="5170"/>
    <cellStyle name="Финансовый 3 2 4 2 6 2 2 2" xfId="10288"/>
    <cellStyle name="Финансовый 3 2 4 2 6 2 2 2 2" xfId="18154"/>
    <cellStyle name="Финансовый 3 2 4 2 6 2 2 3" xfId="18155"/>
    <cellStyle name="Финансовый 3 2 4 2 6 2 3" xfId="8232"/>
    <cellStyle name="Финансовый 3 2 4 2 6 2 3 2" xfId="18156"/>
    <cellStyle name="Финансовый 3 2 4 2 6 2 4" xfId="18157"/>
    <cellStyle name="Финансовый 3 2 4 2 6 3" xfId="4142"/>
    <cellStyle name="Финансовый 3 2 4 2 6 3 2" xfId="9260"/>
    <cellStyle name="Финансовый 3 2 4 2 6 3 2 2" xfId="18158"/>
    <cellStyle name="Финансовый 3 2 4 2 6 3 3" xfId="18159"/>
    <cellStyle name="Финансовый 3 2 4 2 6 4" xfId="7204"/>
    <cellStyle name="Финансовый 3 2 4 2 6 4 2" xfId="18160"/>
    <cellStyle name="Финансовый 3 2 4 2 6 5" xfId="18161"/>
    <cellStyle name="Финансовый 3 2 4 2 7" xfId="1697"/>
    <cellStyle name="Финансовый 3 2 4 2 7 2" xfId="2803"/>
    <cellStyle name="Финансовый 3 2 4 2 7 2 2" xfId="5341"/>
    <cellStyle name="Финансовый 3 2 4 2 7 2 2 2" xfId="10459"/>
    <cellStyle name="Финансовый 3 2 4 2 7 2 2 2 2" xfId="18162"/>
    <cellStyle name="Финансовый 3 2 4 2 7 2 2 3" xfId="18163"/>
    <cellStyle name="Финансовый 3 2 4 2 7 2 3" xfId="8403"/>
    <cellStyle name="Финансовый 3 2 4 2 7 2 3 2" xfId="18164"/>
    <cellStyle name="Финансовый 3 2 4 2 7 2 4" xfId="18165"/>
    <cellStyle name="Финансовый 3 2 4 2 7 3" xfId="4313"/>
    <cellStyle name="Финансовый 3 2 4 2 7 3 2" xfId="9431"/>
    <cellStyle name="Финансовый 3 2 4 2 7 3 2 2" xfId="18166"/>
    <cellStyle name="Финансовый 3 2 4 2 7 3 3" xfId="18167"/>
    <cellStyle name="Финансовый 3 2 4 2 7 4" xfId="7375"/>
    <cellStyle name="Финансовый 3 2 4 2 7 4 2" xfId="18168"/>
    <cellStyle name="Финансовый 3 2 4 2 7 5" xfId="18169"/>
    <cellStyle name="Финансовый 3 2 4 2 8" xfId="1763"/>
    <cellStyle name="Финансовый 3 2 4 2 9" xfId="3153"/>
    <cellStyle name="Финансовый 3 2 4 3" xfId="543"/>
    <cellStyle name="Финансовый 3 2 4 3 2" xfId="3154"/>
    <cellStyle name="Финансовый 3 2 4 3 3" xfId="2897"/>
    <cellStyle name="Финансовый 3 2 4 4" xfId="18170"/>
    <cellStyle name="Финансовый 3 2 5" xfId="544"/>
    <cellStyle name="Финансовый 3 2 5 2" xfId="825"/>
    <cellStyle name="Финансовый 3 2 5 2 2" xfId="1947"/>
    <cellStyle name="Финансовый 3 2 5 2 2 2" xfId="4485"/>
    <cellStyle name="Финансовый 3 2 5 2 2 2 2" xfId="9603"/>
    <cellStyle name="Финансовый 3 2 5 2 2 2 2 2" xfId="18171"/>
    <cellStyle name="Финансовый 3 2 5 2 2 2 3" xfId="18172"/>
    <cellStyle name="Финансовый 3 2 5 2 2 3" xfId="7547"/>
    <cellStyle name="Финансовый 3 2 5 2 2 3 2" xfId="18173"/>
    <cellStyle name="Финансовый 3 2 5 2 2 4" xfId="18174"/>
    <cellStyle name="Финансовый 3 2 5 2 3" xfId="3457"/>
    <cellStyle name="Финансовый 3 2 5 2 3 2" xfId="8575"/>
    <cellStyle name="Финансовый 3 2 5 2 3 2 2" xfId="18175"/>
    <cellStyle name="Финансовый 3 2 5 2 3 3" xfId="18176"/>
    <cellStyle name="Финансовый 3 2 5 2 4" xfId="6519"/>
    <cellStyle name="Финансовый 3 2 5 2 4 2" xfId="18177"/>
    <cellStyle name="Финансовый 3 2 5 2 5" xfId="18178"/>
    <cellStyle name="Финансовый 3 2 5 2 6" xfId="18179"/>
    <cellStyle name="Финансовый 3 2 5 3" xfId="1001"/>
    <cellStyle name="Финансовый 3 2 5 3 2" xfId="2120"/>
    <cellStyle name="Финансовый 3 2 5 3 2 2" xfId="4658"/>
    <cellStyle name="Финансовый 3 2 5 3 2 2 2" xfId="9776"/>
    <cellStyle name="Финансовый 3 2 5 3 2 2 2 2" xfId="18180"/>
    <cellStyle name="Финансовый 3 2 5 3 2 2 3" xfId="18181"/>
    <cellStyle name="Финансовый 3 2 5 3 2 3" xfId="7720"/>
    <cellStyle name="Финансовый 3 2 5 3 2 3 2" xfId="18182"/>
    <cellStyle name="Финансовый 3 2 5 3 2 4" xfId="18183"/>
    <cellStyle name="Финансовый 3 2 5 3 3" xfId="3630"/>
    <cellStyle name="Финансовый 3 2 5 3 3 2" xfId="8748"/>
    <cellStyle name="Финансовый 3 2 5 3 3 2 2" xfId="18184"/>
    <cellStyle name="Финансовый 3 2 5 3 3 3" xfId="18185"/>
    <cellStyle name="Финансовый 3 2 5 3 4" xfId="6692"/>
    <cellStyle name="Финансовый 3 2 5 3 4 2" xfId="18186"/>
    <cellStyle name="Финансовый 3 2 5 3 5" xfId="18187"/>
    <cellStyle name="Финансовый 3 2 5 4" xfId="1172"/>
    <cellStyle name="Финансовый 3 2 5 4 2" xfId="2291"/>
    <cellStyle name="Финансовый 3 2 5 4 2 2" xfId="4829"/>
    <cellStyle name="Финансовый 3 2 5 4 2 2 2" xfId="9947"/>
    <cellStyle name="Финансовый 3 2 5 4 2 2 2 2" xfId="18188"/>
    <cellStyle name="Финансовый 3 2 5 4 2 2 3" xfId="18189"/>
    <cellStyle name="Финансовый 3 2 5 4 2 3" xfId="7891"/>
    <cellStyle name="Финансовый 3 2 5 4 2 3 2" xfId="18190"/>
    <cellStyle name="Финансовый 3 2 5 4 2 4" xfId="18191"/>
    <cellStyle name="Финансовый 3 2 5 4 3" xfId="3801"/>
    <cellStyle name="Финансовый 3 2 5 4 3 2" xfId="8919"/>
    <cellStyle name="Финансовый 3 2 5 4 3 2 2" xfId="18192"/>
    <cellStyle name="Финансовый 3 2 5 4 3 3" xfId="18193"/>
    <cellStyle name="Финансовый 3 2 5 4 4" xfId="6863"/>
    <cellStyle name="Финансовый 3 2 5 4 4 2" xfId="18194"/>
    <cellStyle name="Финансовый 3 2 5 4 5" xfId="18195"/>
    <cellStyle name="Финансовый 3 2 5 5" xfId="1356"/>
    <cellStyle name="Финансовый 3 2 5 5 2" xfId="2462"/>
    <cellStyle name="Финансовый 3 2 5 5 2 2" xfId="5000"/>
    <cellStyle name="Финансовый 3 2 5 5 2 2 2" xfId="10118"/>
    <cellStyle name="Финансовый 3 2 5 5 2 2 2 2" xfId="18196"/>
    <cellStyle name="Финансовый 3 2 5 5 2 2 3" xfId="18197"/>
    <cellStyle name="Финансовый 3 2 5 5 2 3" xfId="8062"/>
    <cellStyle name="Финансовый 3 2 5 5 2 3 2" xfId="18198"/>
    <cellStyle name="Финансовый 3 2 5 5 2 4" xfId="18199"/>
    <cellStyle name="Финансовый 3 2 5 5 3" xfId="3972"/>
    <cellStyle name="Финансовый 3 2 5 5 3 2" xfId="9090"/>
    <cellStyle name="Финансовый 3 2 5 5 3 2 2" xfId="18200"/>
    <cellStyle name="Финансовый 3 2 5 5 3 3" xfId="18201"/>
    <cellStyle name="Финансовый 3 2 5 5 4" xfId="7034"/>
    <cellStyle name="Финансовый 3 2 5 5 4 2" xfId="18202"/>
    <cellStyle name="Финансовый 3 2 5 5 5" xfId="18203"/>
    <cellStyle name="Финансовый 3 2 5 6" xfId="1527"/>
    <cellStyle name="Финансовый 3 2 5 6 2" xfId="2633"/>
    <cellStyle name="Финансовый 3 2 5 6 2 2" xfId="5171"/>
    <cellStyle name="Финансовый 3 2 5 6 2 2 2" xfId="10289"/>
    <cellStyle name="Финансовый 3 2 5 6 2 2 2 2" xfId="18204"/>
    <cellStyle name="Финансовый 3 2 5 6 2 2 3" xfId="18205"/>
    <cellStyle name="Финансовый 3 2 5 6 2 3" xfId="8233"/>
    <cellStyle name="Финансовый 3 2 5 6 2 3 2" xfId="18206"/>
    <cellStyle name="Финансовый 3 2 5 6 2 4" xfId="18207"/>
    <cellStyle name="Финансовый 3 2 5 6 3" xfId="4143"/>
    <cellStyle name="Финансовый 3 2 5 6 3 2" xfId="9261"/>
    <cellStyle name="Финансовый 3 2 5 6 3 2 2" xfId="18208"/>
    <cellStyle name="Финансовый 3 2 5 6 3 3" xfId="18209"/>
    <cellStyle name="Финансовый 3 2 5 6 4" xfId="7205"/>
    <cellStyle name="Финансовый 3 2 5 6 4 2" xfId="18210"/>
    <cellStyle name="Финансовый 3 2 5 6 5" xfId="18211"/>
    <cellStyle name="Финансовый 3 2 5 7" xfId="1698"/>
    <cellStyle name="Финансовый 3 2 5 7 2" xfId="2804"/>
    <cellStyle name="Финансовый 3 2 5 7 2 2" xfId="5342"/>
    <cellStyle name="Финансовый 3 2 5 7 2 2 2" xfId="10460"/>
    <cellStyle name="Финансовый 3 2 5 7 2 2 2 2" xfId="18212"/>
    <cellStyle name="Финансовый 3 2 5 7 2 2 3" xfId="18213"/>
    <cellStyle name="Финансовый 3 2 5 7 2 3" xfId="8404"/>
    <cellStyle name="Финансовый 3 2 5 7 2 3 2" xfId="18214"/>
    <cellStyle name="Финансовый 3 2 5 7 2 4" xfId="18215"/>
    <cellStyle name="Финансовый 3 2 5 7 3" xfId="4314"/>
    <cellStyle name="Финансовый 3 2 5 7 3 2" xfId="9432"/>
    <cellStyle name="Финансовый 3 2 5 7 3 2 2" xfId="18216"/>
    <cellStyle name="Финансовый 3 2 5 7 3 3" xfId="18217"/>
    <cellStyle name="Финансовый 3 2 5 7 4" xfId="7376"/>
    <cellStyle name="Финансовый 3 2 5 7 4 2" xfId="18218"/>
    <cellStyle name="Финансовый 3 2 5 7 5" xfId="18219"/>
    <cellStyle name="Финансовый 3 2 5 8" xfId="1764"/>
    <cellStyle name="Финансовый 3 2 5 9" xfId="3155"/>
    <cellStyle name="Финансовый 3 2 6" xfId="545"/>
    <cellStyle name="Финансовый 3 2 6 2" xfId="3156"/>
    <cellStyle name="Финансовый 3 2 6 3" xfId="2892"/>
    <cellStyle name="Финансовый 3 2 7" xfId="18220"/>
    <cellStyle name="Финансовый 3 3" xfId="546"/>
    <cellStyle name="Финансовый 3 3 2" xfId="547"/>
    <cellStyle name="Финансовый 3 3 2 2" xfId="548"/>
    <cellStyle name="Финансовый 3 3 2 2 2" xfId="549"/>
    <cellStyle name="Финансовый 3 3 2 2 2 2" xfId="826"/>
    <cellStyle name="Финансовый 3 3 2 2 2 2 2" xfId="1948"/>
    <cellStyle name="Финансовый 3 3 2 2 2 2 2 2" xfId="4486"/>
    <cellStyle name="Финансовый 3 3 2 2 2 2 2 2 2" xfId="9604"/>
    <cellStyle name="Финансовый 3 3 2 2 2 2 2 2 2 2" xfId="18221"/>
    <cellStyle name="Финансовый 3 3 2 2 2 2 2 2 3" xfId="18222"/>
    <cellStyle name="Финансовый 3 3 2 2 2 2 2 3" xfId="7548"/>
    <cellStyle name="Финансовый 3 3 2 2 2 2 2 3 2" xfId="18223"/>
    <cellStyle name="Финансовый 3 3 2 2 2 2 2 4" xfId="18224"/>
    <cellStyle name="Финансовый 3 3 2 2 2 2 3" xfId="3458"/>
    <cellStyle name="Финансовый 3 3 2 2 2 2 3 2" xfId="8576"/>
    <cellStyle name="Финансовый 3 3 2 2 2 2 3 2 2" xfId="18225"/>
    <cellStyle name="Финансовый 3 3 2 2 2 2 3 3" xfId="18226"/>
    <cellStyle name="Финансовый 3 3 2 2 2 2 4" xfId="6520"/>
    <cellStyle name="Финансовый 3 3 2 2 2 2 4 2" xfId="18227"/>
    <cellStyle name="Финансовый 3 3 2 2 2 2 5" xfId="18228"/>
    <cellStyle name="Финансовый 3 3 2 2 2 2 6" xfId="18229"/>
    <cellStyle name="Финансовый 3 3 2 2 2 3" xfId="1002"/>
    <cellStyle name="Финансовый 3 3 2 2 2 3 2" xfId="2121"/>
    <cellStyle name="Финансовый 3 3 2 2 2 3 2 2" xfId="4659"/>
    <cellStyle name="Финансовый 3 3 2 2 2 3 2 2 2" xfId="9777"/>
    <cellStyle name="Финансовый 3 3 2 2 2 3 2 2 2 2" xfId="18230"/>
    <cellStyle name="Финансовый 3 3 2 2 2 3 2 2 3" xfId="18231"/>
    <cellStyle name="Финансовый 3 3 2 2 2 3 2 3" xfId="7721"/>
    <cellStyle name="Финансовый 3 3 2 2 2 3 2 3 2" xfId="18232"/>
    <cellStyle name="Финансовый 3 3 2 2 2 3 2 4" xfId="18233"/>
    <cellStyle name="Финансовый 3 3 2 2 2 3 3" xfId="3631"/>
    <cellStyle name="Финансовый 3 3 2 2 2 3 3 2" xfId="8749"/>
    <cellStyle name="Финансовый 3 3 2 2 2 3 3 2 2" xfId="18234"/>
    <cellStyle name="Финансовый 3 3 2 2 2 3 3 3" xfId="18235"/>
    <cellStyle name="Финансовый 3 3 2 2 2 3 4" xfId="6693"/>
    <cellStyle name="Финансовый 3 3 2 2 2 3 4 2" xfId="18236"/>
    <cellStyle name="Финансовый 3 3 2 2 2 3 5" xfId="18237"/>
    <cellStyle name="Финансовый 3 3 2 2 2 4" xfId="1173"/>
    <cellStyle name="Финансовый 3 3 2 2 2 4 2" xfId="2292"/>
    <cellStyle name="Финансовый 3 3 2 2 2 4 2 2" xfId="4830"/>
    <cellStyle name="Финансовый 3 3 2 2 2 4 2 2 2" xfId="9948"/>
    <cellStyle name="Финансовый 3 3 2 2 2 4 2 2 2 2" xfId="18238"/>
    <cellStyle name="Финансовый 3 3 2 2 2 4 2 2 3" xfId="18239"/>
    <cellStyle name="Финансовый 3 3 2 2 2 4 2 3" xfId="7892"/>
    <cellStyle name="Финансовый 3 3 2 2 2 4 2 3 2" xfId="18240"/>
    <cellStyle name="Финансовый 3 3 2 2 2 4 2 4" xfId="18241"/>
    <cellStyle name="Финансовый 3 3 2 2 2 4 3" xfId="3802"/>
    <cellStyle name="Финансовый 3 3 2 2 2 4 3 2" xfId="8920"/>
    <cellStyle name="Финансовый 3 3 2 2 2 4 3 2 2" xfId="18242"/>
    <cellStyle name="Финансовый 3 3 2 2 2 4 3 3" xfId="18243"/>
    <cellStyle name="Финансовый 3 3 2 2 2 4 4" xfId="6864"/>
    <cellStyle name="Финансовый 3 3 2 2 2 4 4 2" xfId="18244"/>
    <cellStyle name="Финансовый 3 3 2 2 2 4 5" xfId="18245"/>
    <cellStyle name="Финансовый 3 3 2 2 2 5" xfId="1357"/>
    <cellStyle name="Финансовый 3 3 2 2 2 5 2" xfId="2463"/>
    <cellStyle name="Финансовый 3 3 2 2 2 5 2 2" xfId="5001"/>
    <cellStyle name="Финансовый 3 3 2 2 2 5 2 2 2" xfId="10119"/>
    <cellStyle name="Финансовый 3 3 2 2 2 5 2 2 2 2" xfId="18246"/>
    <cellStyle name="Финансовый 3 3 2 2 2 5 2 2 3" xfId="18247"/>
    <cellStyle name="Финансовый 3 3 2 2 2 5 2 3" xfId="8063"/>
    <cellStyle name="Финансовый 3 3 2 2 2 5 2 3 2" xfId="18248"/>
    <cellStyle name="Финансовый 3 3 2 2 2 5 2 4" xfId="18249"/>
    <cellStyle name="Финансовый 3 3 2 2 2 5 3" xfId="3973"/>
    <cellStyle name="Финансовый 3 3 2 2 2 5 3 2" xfId="9091"/>
    <cellStyle name="Финансовый 3 3 2 2 2 5 3 2 2" xfId="18250"/>
    <cellStyle name="Финансовый 3 3 2 2 2 5 3 3" xfId="18251"/>
    <cellStyle name="Финансовый 3 3 2 2 2 5 4" xfId="7035"/>
    <cellStyle name="Финансовый 3 3 2 2 2 5 4 2" xfId="18252"/>
    <cellStyle name="Финансовый 3 3 2 2 2 5 5" xfId="18253"/>
    <cellStyle name="Финансовый 3 3 2 2 2 6" xfId="1528"/>
    <cellStyle name="Финансовый 3 3 2 2 2 6 2" xfId="2634"/>
    <cellStyle name="Финансовый 3 3 2 2 2 6 2 2" xfId="5172"/>
    <cellStyle name="Финансовый 3 3 2 2 2 6 2 2 2" xfId="10290"/>
    <cellStyle name="Финансовый 3 3 2 2 2 6 2 2 2 2" xfId="18254"/>
    <cellStyle name="Финансовый 3 3 2 2 2 6 2 2 3" xfId="18255"/>
    <cellStyle name="Финансовый 3 3 2 2 2 6 2 3" xfId="8234"/>
    <cellStyle name="Финансовый 3 3 2 2 2 6 2 3 2" xfId="18256"/>
    <cellStyle name="Финансовый 3 3 2 2 2 6 2 4" xfId="18257"/>
    <cellStyle name="Финансовый 3 3 2 2 2 6 3" xfId="4144"/>
    <cellStyle name="Финансовый 3 3 2 2 2 6 3 2" xfId="9262"/>
    <cellStyle name="Финансовый 3 3 2 2 2 6 3 2 2" xfId="18258"/>
    <cellStyle name="Финансовый 3 3 2 2 2 6 3 3" xfId="18259"/>
    <cellStyle name="Финансовый 3 3 2 2 2 6 4" xfId="7206"/>
    <cellStyle name="Финансовый 3 3 2 2 2 6 4 2" xfId="18260"/>
    <cellStyle name="Финансовый 3 3 2 2 2 6 5" xfId="18261"/>
    <cellStyle name="Финансовый 3 3 2 2 2 7" xfId="1699"/>
    <cellStyle name="Финансовый 3 3 2 2 2 7 2" xfId="2805"/>
    <cellStyle name="Финансовый 3 3 2 2 2 7 2 2" xfId="5343"/>
    <cellStyle name="Финансовый 3 3 2 2 2 7 2 2 2" xfId="10461"/>
    <cellStyle name="Финансовый 3 3 2 2 2 7 2 2 2 2" xfId="18262"/>
    <cellStyle name="Финансовый 3 3 2 2 2 7 2 2 3" xfId="18263"/>
    <cellStyle name="Финансовый 3 3 2 2 2 7 2 3" xfId="8405"/>
    <cellStyle name="Финансовый 3 3 2 2 2 7 2 3 2" xfId="18264"/>
    <cellStyle name="Финансовый 3 3 2 2 2 7 2 4" xfId="18265"/>
    <cellStyle name="Финансовый 3 3 2 2 2 7 3" xfId="4315"/>
    <cellStyle name="Финансовый 3 3 2 2 2 7 3 2" xfId="9433"/>
    <cellStyle name="Финансовый 3 3 2 2 2 7 3 2 2" xfId="18266"/>
    <cellStyle name="Финансовый 3 3 2 2 2 7 3 3" xfId="18267"/>
    <cellStyle name="Финансовый 3 3 2 2 2 7 4" xfId="7377"/>
    <cellStyle name="Финансовый 3 3 2 2 2 7 4 2" xfId="18268"/>
    <cellStyle name="Финансовый 3 3 2 2 2 7 5" xfId="18269"/>
    <cellStyle name="Финансовый 3 3 2 2 2 8" xfId="1765"/>
    <cellStyle name="Финансовый 3 3 2 2 2 9" xfId="3157"/>
    <cellStyle name="Финансовый 3 3 2 2 3" xfId="550"/>
    <cellStyle name="Финансовый 3 3 2 2 3 2" xfId="3158"/>
    <cellStyle name="Финансовый 3 3 2 2 3 3" xfId="2900"/>
    <cellStyle name="Финансовый 3 3 2 2 4" xfId="18270"/>
    <cellStyle name="Финансовый 3 3 2 3" xfId="551"/>
    <cellStyle name="Финансовый 3 3 2 3 2" xfId="552"/>
    <cellStyle name="Финансовый 3 3 2 3 2 2" xfId="827"/>
    <cellStyle name="Финансовый 3 3 2 3 2 2 2" xfId="1949"/>
    <cellStyle name="Финансовый 3 3 2 3 2 2 2 2" xfId="4487"/>
    <cellStyle name="Финансовый 3 3 2 3 2 2 2 2 2" xfId="9605"/>
    <cellStyle name="Финансовый 3 3 2 3 2 2 2 2 2 2" xfId="18271"/>
    <cellStyle name="Финансовый 3 3 2 3 2 2 2 2 3" xfId="18272"/>
    <cellStyle name="Финансовый 3 3 2 3 2 2 2 3" xfId="7549"/>
    <cellStyle name="Финансовый 3 3 2 3 2 2 2 3 2" xfId="18273"/>
    <cellStyle name="Финансовый 3 3 2 3 2 2 2 4" xfId="18274"/>
    <cellStyle name="Финансовый 3 3 2 3 2 2 3" xfId="3459"/>
    <cellStyle name="Финансовый 3 3 2 3 2 2 3 2" xfId="8577"/>
    <cellStyle name="Финансовый 3 3 2 3 2 2 3 2 2" xfId="18275"/>
    <cellStyle name="Финансовый 3 3 2 3 2 2 3 3" xfId="18276"/>
    <cellStyle name="Финансовый 3 3 2 3 2 2 4" xfId="6521"/>
    <cellStyle name="Финансовый 3 3 2 3 2 2 4 2" xfId="18277"/>
    <cellStyle name="Финансовый 3 3 2 3 2 2 5" xfId="18278"/>
    <cellStyle name="Финансовый 3 3 2 3 2 2 6" xfId="18279"/>
    <cellStyle name="Финансовый 3 3 2 3 2 3" xfId="1003"/>
    <cellStyle name="Финансовый 3 3 2 3 2 3 2" xfId="2122"/>
    <cellStyle name="Финансовый 3 3 2 3 2 3 2 2" xfId="4660"/>
    <cellStyle name="Финансовый 3 3 2 3 2 3 2 2 2" xfId="9778"/>
    <cellStyle name="Финансовый 3 3 2 3 2 3 2 2 2 2" xfId="18280"/>
    <cellStyle name="Финансовый 3 3 2 3 2 3 2 2 3" xfId="18281"/>
    <cellStyle name="Финансовый 3 3 2 3 2 3 2 3" xfId="7722"/>
    <cellStyle name="Финансовый 3 3 2 3 2 3 2 3 2" xfId="18282"/>
    <cellStyle name="Финансовый 3 3 2 3 2 3 2 4" xfId="18283"/>
    <cellStyle name="Финансовый 3 3 2 3 2 3 3" xfId="3632"/>
    <cellStyle name="Финансовый 3 3 2 3 2 3 3 2" xfId="8750"/>
    <cellStyle name="Финансовый 3 3 2 3 2 3 3 2 2" xfId="18284"/>
    <cellStyle name="Финансовый 3 3 2 3 2 3 3 3" xfId="18285"/>
    <cellStyle name="Финансовый 3 3 2 3 2 3 4" xfId="6694"/>
    <cellStyle name="Финансовый 3 3 2 3 2 3 4 2" xfId="18286"/>
    <cellStyle name="Финансовый 3 3 2 3 2 3 5" xfId="18287"/>
    <cellStyle name="Финансовый 3 3 2 3 2 4" xfId="1174"/>
    <cellStyle name="Финансовый 3 3 2 3 2 4 2" xfId="2293"/>
    <cellStyle name="Финансовый 3 3 2 3 2 4 2 2" xfId="4831"/>
    <cellStyle name="Финансовый 3 3 2 3 2 4 2 2 2" xfId="9949"/>
    <cellStyle name="Финансовый 3 3 2 3 2 4 2 2 2 2" xfId="18288"/>
    <cellStyle name="Финансовый 3 3 2 3 2 4 2 2 3" xfId="18289"/>
    <cellStyle name="Финансовый 3 3 2 3 2 4 2 3" xfId="7893"/>
    <cellStyle name="Финансовый 3 3 2 3 2 4 2 3 2" xfId="18290"/>
    <cellStyle name="Финансовый 3 3 2 3 2 4 2 4" xfId="18291"/>
    <cellStyle name="Финансовый 3 3 2 3 2 4 3" xfId="3803"/>
    <cellStyle name="Финансовый 3 3 2 3 2 4 3 2" xfId="8921"/>
    <cellStyle name="Финансовый 3 3 2 3 2 4 3 2 2" xfId="18292"/>
    <cellStyle name="Финансовый 3 3 2 3 2 4 3 3" xfId="18293"/>
    <cellStyle name="Финансовый 3 3 2 3 2 4 4" xfId="6865"/>
    <cellStyle name="Финансовый 3 3 2 3 2 4 4 2" xfId="18294"/>
    <cellStyle name="Финансовый 3 3 2 3 2 4 5" xfId="18295"/>
    <cellStyle name="Финансовый 3 3 2 3 2 5" xfId="1358"/>
    <cellStyle name="Финансовый 3 3 2 3 2 5 2" xfId="2464"/>
    <cellStyle name="Финансовый 3 3 2 3 2 5 2 2" xfId="5002"/>
    <cellStyle name="Финансовый 3 3 2 3 2 5 2 2 2" xfId="10120"/>
    <cellStyle name="Финансовый 3 3 2 3 2 5 2 2 2 2" xfId="18296"/>
    <cellStyle name="Финансовый 3 3 2 3 2 5 2 2 3" xfId="18297"/>
    <cellStyle name="Финансовый 3 3 2 3 2 5 2 3" xfId="8064"/>
    <cellStyle name="Финансовый 3 3 2 3 2 5 2 3 2" xfId="18298"/>
    <cellStyle name="Финансовый 3 3 2 3 2 5 2 4" xfId="18299"/>
    <cellStyle name="Финансовый 3 3 2 3 2 5 3" xfId="3974"/>
    <cellStyle name="Финансовый 3 3 2 3 2 5 3 2" xfId="9092"/>
    <cellStyle name="Финансовый 3 3 2 3 2 5 3 2 2" xfId="18300"/>
    <cellStyle name="Финансовый 3 3 2 3 2 5 3 3" xfId="18301"/>
    <cellStyle name="Финансовый 3 3 2 3 2 5 4" xfId="7036"/>
    <cellStyle name="Финансовый 3 3 2 3 2 5 4 2" xfId="18302"/>
    <cellStyle name="Финансовый 3 3 2 3 2 5 5" xfId="18303"/>
    <cellStyle name="Финансовый 3 3 2 3 2 6" xfId="1529"/>
    <cellStyle name="Финансовый 3 3 2 3 2 6 2" xfId="2635"/>
    <cellStyle name="Финансовый 3 3 2 3 2 6 2 2" xfId="5173"/>
    <cellStyle name="Финансовый 3 3 2 3 2 6 2 2 2" xfId="10291"/>
    <cellStyle name="Финансовый 3 3 2 3 2 6 2 2 2 2" xfId="18304"/>
    <cellStyle name="Финансовый 3 3 2 3 2 6 2 2 3" xfId="18305"/>
    <cellStyle name="Финансовый 3 3 2 3 2 6 2 3" xfId="8235"/>
    <cellStyle name="Финансовый 3 3 2 3 2 6 2 3 2" xfId="18306"/>
    <cellStyle name="Финансовый 3 3 2 3 2 6 2 4" xfId="18307"/>
    <cellStyle name="Финансовый 3 3 2 3 2 6 3" xfId="4145"/>
    <cellStyle name="Финансовый 3 3 2 3 2 6 3 2" xfId="9263"/>
    <cellStyle name="Финансовый 3 3 2 3 2 6 3 2 2" xfId="18308"/>
    <cellStyle name="Финансовый 3 3 2 3 2 6 3 3" xfId="18309"/>
    <cellStyle name="Финансовый 3 3 2 3 2 6 4" xfId="7207"/>
    <cellStyle name="Финансовый 3 3 2 3 2 6 4 2" xfId="18310"/>
    <cellStyle name="Финансовый 3 3 2 3 2 6 5" xfId="18311"/>
    <cellStyle name="Финансовый 3 3 2 3 2 7" xfId="1700"/>
    <cellStyle name="Финансовый 3 3 2 3 2 7 2" xfId="2806"/>
    <cellStyle name="Финансовый 3 3 2 3 2 7 2 2" xfId="5344"/>
    <cellStyle name="Финансовый 3 3 2 3 2 7 2 2 2" xfId="10462"/>
    <cellStyle name="Финансовый 3 3 2 3 2 7 2 2 2 2" xfId="18312"/>
    <cellStyle name="Финансовый 3 3 2 3 2 7 2 2 3" xfId="18313"/>
    <cellStyle name="Финансовый 3 3 2 3 2 7 2 3" xfId="8406"/>
    <cellStyle name="Финансовый 3 3 2 3 2 7 2 3 2" xfId="18314"/>
    <cellStyle name="Финансовый 3 3 2 3 2 7 2 4" xfId="18315"/>
    <cellStyle name="Финансовый 3 3 2 3 2 7 3" xfId="4316"/>
    <cellStyle name="Финансовый 3 3 2 3 2 7 3 2" xfId="9434"/>
    <cellStyle name="Финансовый 3 3 2 3 2 7 3 2 2" xfId="18316"/>
    <cellStyle name="Финансовый 3 3 2 3 2 7 3 3" xfId="18317"/>
    <cellStyle name="Финансовый 3 3 2 3 2 7 4" xfId="7378"/>
    <cellStyle name="Финансовый 3 3 2 3 2 7 4 2" xfId="18318"/>
    <cellStyle name="Финансовый 3 3 2 3 2 7 5" xfId="18319"/>
    <cellStyle name="Финансовый 3 3 2 3 2 8" xfId="1766"/>
    <cellStyle name="Финансовый 3 3 2 3 2 9" xfId="3159"/>
    <cellStyle name="Финансовый 3 3 2 3 3" xfId="553"/>
    <cellStyle name="Финансовый 3 3 2 3 3 2" xfId="3160"/>
    <cellStyle name="Финансовый 3 3 2 3 3 3" xfId="2901"/>
    <cellStyle name="Финансовый 3 3 2 3 4" xfId="18320"/>
    <cellStyle name="Финансовый 3 3 2 4" xfId="554"/>
    <cellStyle name="Финансовый 3 3 2 4 2" xfId="828"/>
    <cellStyle name="Финансовый 3 3 2 4 2 2" xfId="1950"/>
    <cellStyle name="Финансовый 3 3 2 4 2 2 2" xfId="4488"/>
    <cellStyle name="Финансовый 3 3 2 4 2 2 2 2" xfId="9606"/>
    <cellStyle name="Финансовый 3 3 2 4 2 2 2 2 2" xfId="18321"/>
    <cellStyle name="Финансовый 3 3 2 4 2 2 2 3" xfId="18322"/>
    <cellStyle name="Финансовый 3 3 2 4 2 2 3" xfId="7550"/>
    <cellStyle name="Финансовый 3 3 2 4 2 2 3 2" xfId="18323"/>
    <cellStyle name="Финансовый 3 3 2 4 2 2 4" xfId="18324"/>
    <cellStyle name="Финансовый 3 3 2 4 2 3" xfId="3460"/>
    <cellStyle name="Финансовый 3 3 2 4 2 3 2" xfId="8578"/>
    <cellStyle name="Финансовый 3 3 2 4 2 3 2 2" xfId="18325"/>
    <cellStyle name="Финансовый 3 3 2 4 2 3 3" xfId="18326"/>
    <cellStyle name="Финансовый 3 3 2 4 2 4" xfId="6522"/>
    <cellStyle name="Финансовый 3 3 2 4 2 4 2" xfId="18327"/>
    <cellStyle name="Финансовый 3 3 2 4 2 5" xfId="18328"/>
    <cellStyle name="Финансовый 3 3 2 4 2 6" xfId="18329"/>
    <cellStyle name="Финансовый 3 3 2 4 3" xfId="1004"/>
    <cellStyle name="Финансовый 3 3 2 4 3 2" xfId="2123"/>
    <cellStyle name="Финансовый 3 3 2 4 3 2 2" xfId="4661"/>
    <cellStyle name="Финансовый 3 3 2 4 3 2 2 2" xfId="9779"/>
    <cellStyle name="Финансовый 3 3 2 4 3 2 2 2 2" xfId="18330"/>
    <cellStyle name="Финансовый 3 3 2 4 3 2 2 3" xfId="18331"/>
    <cellStyle name="Финансовый 3 3 2 4 3 2 3" xfId="7723"/>
    <cellStyle name="Финансовый 3 3 2 4 3 2 3 2" xfId="18332"/>
    <cellStyle name="Финансовый 3 3 2 4 3 2 4" xfId="18333"/>
    <cellStyle name="Финансовый 3 3 2 4 3 3" xfId="3633"/>
    <cellStyle name="Финансовый 3 3 2 4 3 3 2" xfId="8751"/>
    <cellStyle name="Финансовый 3 3 2 4 3 3 2 2" xfId="18334"/>
    <cellStyle name="Финансовый 3 3 2 4 3 3 3" xfId="18335"/>
    <cellStyle name="Финансовый 3 3 2 4 3 4" xfId="6695"/>
    <cellStyle name="Финансовый 3 3 2 4 3 4 2" xfId="18336"/>
    <cellStyle name="Финансовый 3 3 2 4 3 5" xfId="18337"/>
    <cellStyle name="Финансовый 3 3 2 4 4" xfId="1175"/>
    <cellStyle name="Финансовый 3 3 2 4 4 2" xfId="2294"/>
    <cellStyle name="Финансовый 3 3 2 4 4 2 2" xfId="4832"/>
    <cellStyle name="Финансовый 3 3 2 4 4 2 2 2" xfId="9950"/>
    <cellStyle name="Финансовый 3 3 2 4 4 2 2 2 2" xfId="18338"/>
    <cellStyle name="Финансовый 3 3 2 4 4 2 2 3" xfId="18339"/>
    <cellStyle name="Финансовый 3 3 2 4 4 2 3" xfId="7894"/>
    <cellStyle name="Финансовый 3 3 2 4 4 2 3 2" xfId="18340"/>
    <cellStyle name="Финансовый 3 3 2 4 4 2 4" xfId="18341"/>
    <cellStyle name="Финансовый 3 3 2 4 4 3" xfId="3804"/>
    <cellStyle name="Финансовый 3 3 2 4 4 3 2" xfId="8922"/>
    <cellStyle name="Финансовый 3 3 2 4 4 3 2 2" xfId="18342"/>
    <cellStyle name="Финансовый 3 3 2 4 4 3 3" xfId="18343"/>
    <cellStyle name="Финансовый 3 3 2 4 4 4" xfId="6866"/>
    <cellStyle name="Финансовый 3 3 2 4 4 4 2" xfId="18344"/>
    <cellStyle name="Финансовый 3 3 2 4 4 5" xfId="18345"/>
    <cellStyle name="Финансовый 3 3 2 4 5" xfId="1359"/>
    <cellStyle name="Финансовый 3 3 2 4 5 2" xfId="2465"/>
    <cellStyle name="Финансовый 3 3 2 4 5 2 2" xfId="5003"/>
    <cellStyle name="Финансовый 3 3 2 4 5 2 2 2" xfId="10121"/>
    <cellStyle name="Финансовый 3 3 2 4 5 2 2 2 2" xfId="18346"/>
    <cellStyle name="Финансовый 3 3 2 4 5 2 2 3" xfId="18347"/>
    <cellStyle name="Финансовый 3 3 2 4 5 2 3" xfId="8065"/>
    <cellStyle name="Финансовый 3 3 2 4 5 2 3 2" xfId="18348"/>
    <cellStyle name="Финансовый 3 3 2 4 5 2 4" xfId="18349"/>
    <cellStyle name="Финансовый 3 3 2 4 5 3" xfId="3975"/>
    <cellStyle name="Финансовый 3 3 2 4 5 3 2" xfId="9093"/>
    <cellStyle name="Финансовый 3 3 2 4 5 3 2 2" xfId="18350"/>
    <cellStyle name="Финансовый 3 3 2 4 5 3 3" xfId="18351"/>
    <cellStyle name="Финансовый 3 3 2 4 5 4" xfId="7037"/>
    <cellStyle name="Финансовый 3 3 2 4 5 4 2" xfId="18352"/>
    <cellStyle name="Финансовый 3 3 2 4 5 5" xfId="18353"/>
    <cellStyle name="Финансовый 3 3 2 4 6" xfId="1530"/>
    <cellStyle name="Финансовый 3 3 2 4 6 2" xfId="2636"/>
    <cellStyle name="Финансовый 3 3 2 4 6 2 2" xfId="5174"/>
    <cellStyle name="Финансовый 3 3 2 4 6 2 2 2" xfId="10292"/>
    <cellStyle name="Финансовый 3 3 2 4 6 2 2 2 2" xfId="18354"/>
    <cellStyle name="Финансовый 3 3 2 4 6 2 2 3" xfId="18355"/>
    <cellStyle name="Финансовый 3 3 2 4 6 2 3" xfId="8236"/>
    <cellStyle name="Финансовый 3 3 2 4 6 2 3 2" xfId="18356"/>
    <cellStyle name="Финансовый 3 3 2 4 6 2 4" xfId="18357"/>
    <cellStyle name="Финансовый 3 3 2 4 6 3" xfId="4146"/>
    <cellStyle name="Финансовый 3 3 2 4 6 3 2" xfId="9264"/>
    <cellStyle name="Финансовый 3 3 2 4 6 3 2 2" xfId="18358"/>
    <cellStyle name="Финансовый 3 3 2 4 6 3 3" xfId="18359"/>
    <cellStyle name="Финансовый 3 3 2 4 6 4" xfId="7208"/>
    <cellStyle name="Финансовый 3 3 2 4 6 4 2" xfId="18360"/>
    <cellStyle name="Финансовый 3 3 2 4 6 5" xfId="18361"/>
    <cellStyle name="Финансовый 3 3 2 4 7" xfId="1701"/>
    <cellStyle name="Финансовый 3 3 2 4 7 2" xfId="2807"/>
    <cellStyle name="Финансовый 3 3 2 4 7 2 2" xfId="5345"/>
    <cellStyle name="Финансовый 3 3 2 4 7 2 2 2" xfId="10463"/>
    <cellStyle name="Финансовый 3 3 2 4 7 2 2 2 2" xfId="18362"/>
    <cellStyle name="Финансовый 3 3 2 4 7 2 2 3" xfId="18363"/>
    <cellStyle name="Финансовый 3 3 2 4 7 2 3" xfId="8407"/>
    <cellStyle name="Финансовый 3 3 2 4 7 2 3 2" xfId="18364"/>
    <cellStyle name="Финансовый 3 3 2 4 7 2 4" xfId="18365"/>
    <cellStyle name="Финансовый 3 3 2 4 7 3" xfId="4317"/>
    <cellStyle name="Финансовый 3 3 2 4 7 3 2" xfId="9435"/>
    <cellStyle name="Финансовый 3 3 2 4 7 3 2 2" xfId="18366"/>
    <cellStyle name="Финансовый 3 3 2 4 7 3 3" xfId="18367"/>
    <cellStyle name="Финансовый 3 3 2 4 7 4" xfId="7379"/>
    <cellStyle name="Финансовый 3 3 2 4 7 4 2" xfId="18368"/>
    <cellStyle name="Финансовый 3 3 2 4 7 5" xfId="18369"/>
    <cellStyle name="Финансовый 3 3 2 4 8" xfId="1767"/>
    <cellStyle name="Финансовый 3 3 2 4 9" xfId="3161"/>
    <cellStyle name="Финансовый 3 3 2 5" xfId="555"/>
    <cellStyle name="Финансовый 3 3 2 5 2" xfId="3162"/>
    <cellStyle name="Финансовый 3 3 2 5 3" xfId="2899"/>
    <cellStyle name="Финансовый 3 3 2 6" xfId="18370"/>
    <cellStyle name="Финансовый 3 3 3" xfId="556"/>
    <cellStyle name="Финансовый 3 3 3 2" xfId="557"/>
    <cellStyle name="Финансовый 3 3 3 2 2" xfId="829"/>
    <cellStyle name="Финансовый 3 3 3 2 2 2" xfId="1951"/>
    <cellStyle name="Финансовый 3 3 3 2 2 2 2" xfId="4489"/>
    <cellStyle name="Финансовый 3 3 3 2 2 2 2 2" xfId="9607"/>
    <cellStyle name="Финансовый 3 3 3 2 2 2 2 2 2" xfId="18371"/>
    <cellStyle name="Финансовый 3 3 3 2 2 2 2 3" xfId="18372"/>
    <cellStyle name="Финансовый 3 3 3 2 2 2 3" xfId="7551"/>
    <cellStyle name="Финансовый 3 3 3 2 2 2 3 2" xfId="18373"/>
    <cellStyle name="Финансовый 3 3 3 2 2 2 4" xfId="18374"/>
    <cellStyle name="Финансовый 3 3 3 2 2 3" xfId="3461"/>
    <cellStyle name="Финансовый 3 3 3 2 2 3 2" xfId="8579"/>
    <cellStyle name="Финансовый 3 3 3 2 2 3 2 2" xfId="18375"/>
    <cellStyle name="Финансовый 3 3 3 2 2 3 3" xfId="18376"/>
    <cellStyle name="Финансовый 3 3 3 2 2 4" xfId="6523"/>
    <cellStyle name="Финансовый 3 3 3 2 2 4 2" xfId="18377"/>
    <cellStyle name="Финансовый 3 3 3 2 2 5" xfId="18378"/>
    <cellStyle name="Финансовый 3 3 3 2 2 6" xfId="18379"/>
    <cellStyle name="Финансовый 3 3 3 2 3" xfId="1005"/>
    <cellStyle name="Финансовый 3 3 3 2 3 2" xfId="2124"/>
    <cellStyle name="Финансовый 3 3 3 2 3 2 2" xfId="4662"/>
    <cellStyle name="Финансовый 3 3 3 2 3 2 2 2" xfId="9780"/>
    <cellStyle name="Финансовый 3 3 3 2 3 2 2 2 2" xfId="18380"/>
    <cellStyle name="Финансовый 3 3 3 2 3 2 2 3" xfId="18381"/>
    <cellStyle name="Финансовый 3 3 3 2 3 2 3" xfId="7724"/>
    <cellStyle name="Финансовый 3 3 3 2 3 2 3 2" xfId="18382"/>
    <cellStyle name="Финансовый 3 3 3 2 3 2 4" xfId="18383"/>
    <cellStyle name="Финансовый 3 3 3 2 3 3" xfId="3634"/>
    <cellStyle name="Финансовый 3 3 3 2 3 3 2" xfId="8752"/>
    <cellStyle name="Финансовый 3 3 3 2 3 3 2 2" xfId="18384"/>
    <cellStyle name="Финансовый 3 3 3 2 3 3 3" xfId="18385"/>
    <cellStyle name="Финансовый 3 3 3 2 3 4" xfId="6696"/>
    <cellStyle name="Финансовый 3 3 3 2 3 4 2" xfId="18386"/>
    <cellStyle name="Финансовый 3 3 3 2 3 5" xfId="18387"/>
    <cellStyle name="Финансовый 3 3 3 2 4" xfId="1176"/>
    <cellStyle name="Финансовый 3 3 3 2 4 2" xfId="2295"/>
    <cellStyle name="Финансовый 3 3 3 2 4 2 2" xfId="4833"/>
    <cellStyle name="Финансовый 3 3 3 2 4 2 2 2" xfId="9951"/>
    <cellStyle name="Финансовый 3 3 3 2 4 2 2 2 2" xfId="18388"/>
    <cellStyle name="Финансовый 3 3 3 2 4 2 2 3" xfId="18389"/>
    <cellStyle name="Финансовый 3 3 3 2 4 2 3" xfId="7895"/>
    <cellStyle name="Финансовый 3 3 3 2 4 2 3 2" xfId="18390"/>
    <cellStyle name="Финансовый 3 3 3 2 4 2 4" xfId="18391"/>
    <cellStyle name="Финансовый 3 3 3 2 4 3" xfId="3805"/>
    <cellStyle name="Финансовый 3 3 3 2 4 3 2" xfId="8923"/>
    <cellStyle name="Финансовый 3 3 3 2 4 3 2 2" xfId="18392"/>
    <cellStyle name="Финансовый 3 3 3 2 4 3 3" xfId="18393"/>
    <cellStyle name="Финансовый 3 3 3 2 4 4" xfId="6867"/>
    <cellStyle name="Финансовый 3 3 3 2 4 4 2" xfId="18394"/>
    <cellStyle name="Финансовый 3 3 3 2 4 5" xfId="18395"/>
    <cellStyle name="Финансовый 3 3 3 2 5" xfId="1360"/>
    <cellStyle name="Финансовый 3 3 3 2 5 2" xfId="2466"/>
    <cellStyle name="Финансовый 3 3 3 2 5 2 2" xfId="5004"/>
    <cellStyle name="Финансовый 3 3 3 2 5 2 2 2" xfId="10122"/>
    <cellStyle name="Финансовый 3 3 3 2 5 2 2 2 2" xfId="18396"/>
    <cellStyle name="Финансовый 3 3 3 2 5 2 2 3" xfId="18397"/>
    <cellStyle name="Финансовый 3 3 3 2 5 2 3" xfId="8066"/>
    <cellStyle name="Финансовый 3 3 3 2 5 2 3 2" xfId="18398"/>
    <cellStyle name="Финансовый 3 3 3 2 5 2 4" xfId="18399"/>
    <cellStyle name="Финансовый 3 3 3 2 5 3" xfId="3976"/>
    <cellStyle name="Финансовый 3 3 3 2 5 3 2" xfId="9094"/>
    <cellStyle name="Финансовый 3 3 3 2 5 3 2 2" xfId="18400"/>
    <cellStyle name="Финансовый 3 3 3 2 5 3 3" xfId="18401"/>
    <cellStyle name="Финансовый 3 3 3 2 5 4" xfId="7038"/>
    <cellStyle name="Финансовый 3 3 3 2 5 4 2" xfId="18402"/>
    <cellStyle name="Финансовый 3 3 3 2 5 5" xfId="18403"/>
    <cellStyle name="Финансовый 3 3 3 2 6" xfId="1531"/>
    <cellStyle name="Финансовый 3 3 3 2 6 2" xfId="2637"/>
    <cellStyle name="Финансовый 3 3 3 2 6 2 2" xfId="5175"/>
    <cellStyle name="Финансовый 3 3 3 2 6 2 2 2" xfId="10293"/>
    <cellStyle name="Финансовый 3 3 3 2 6 2 2 2 2" xfId="18404"/>
    <cellStyle name="Финансовый 3 3 3 2 6 2 2 3" xfId="18405"/>
    <cellStyle name="Финансовый 3 3 3 2 6 2 3" xfId="8237"/>
    <cellStyle name="Финансовый 3 3 3 2 6 2 3 2" xfId="18406"/>
    <cellStyle name="Финансовый 3 3 3 2 6 2 4" xfId="18407"/>
    <cellStyle name="Финансовый 3 3 3 2 6 3" xfId="4147"/>
    <cellStyle name="Финансовый 3 3 3 2 6 3 2" xfId="9265"/>
    <cellStyle name="Финансовый 3 3 3 2 6 3 2 2" xfId="18408"/>
    <cellStyle name="Финансовый 3 3 3 2 6 3 3" xfId="18409"/>
    <cellStyle name="Финансовый 3 3 3 2 6 4" xfId="7209"/>
    <cellStyle name="Финансовый 3 3 3 2 6 4 2" xfId="18410"/>
    <cellStyle name="Финансовый 3 3 3 2 6 5" xfId="18411"/>
    <cellStyle name="Финансовый 3 3 3 2 7" xfId="1702"/>
    <cellStyle name="Финансовый 3 3 3 2 7 2" xfId="2808"/>
    <cellStyle name="Финансовый 3 3 3 2 7 2 2" xfId="5346"/>
    <cellStyle name="Финансовый 3 3 3 2 7 2 2 2" xfId="10464"/>
    <cellStyle name="Финансовый 3 3 3 2 7 2 2 2 2" xfId="18412"/>
    <cellStyle name="Финансовый 3 3 3 2 7 2 2 3" xfId="18413"/>
    <cellStyle name="Финансовый 3 3 3 2 7 2 3" xfId="8408"/>
    <cellStyle name="Финансовый 3 3 3 2 7 2 3 2" xfId="18414"/>
    <cellStyle name="Финансовый 3 3 3 2 7 2 4" xfId="18415"/>
    <cellStyle name="Финансовый 3 3 3 2 7 3" xfId="4318"/>
    <cellStyle name="Финансовый 3 3 3 2 7 3 2" xfId="9436"/>
    <cellStyle name="Финансовый 3 3 3 2 7 3 2 2" xfId="18416"/>
    <cellStyle name="Финансовый 3 3 3 2 7 3 3" xfId="18417"/>
    <cellStyle name="Финансовый 3 3 3 2 7 4" xfId="7380"/>
    <cellStyle name="Финансовый 3 3 3 2 7 4 2" xfId="18418"/>
    <cellStyle name="Финансовый 3 3 3 2 7 5" xfId="18419"/>
    <cellStyle name="Финансовый 3 3 3 2 8" xfId="1768"/>
    <cellStyle name="Финансовый 3 3 3 2 9" xfId="3163"/>
    <cellStyle name="Финансовый 3 3 3 3" xfId="558"/>
    <cellStyle name="Финансовый 3 3 3 3 2" xfId="3164"/>
    <cellStyle name="Финансовый 3 3 3 3 3" xfId="2902"/>
    <cellStyle name="Финансовый 3 3 3 4" xfId="18420"/>
    <cellStyle name="Финансовый 3 3 4" xfId="559"/>
    <cellStyle name="Финансовый 3 3 4 2" xfId="560"/>
    <cellStyle name="Финансовый 3 3 4 2 2" xfId="830"/>
    <cellStyle name="Финансовый 3 3 4 2 2 2" xfId="1952"/>
    <cellStyle name="Финансовый 3 3 4 2 2 2 2" xfId="4490"/>
    <cellStyle name="Финансовый 3 3 4 2 2 2 2 2" xfId="9608"/>
    <cellStyle name="Финансовый 3 3 4 2 2 2 2 2 2" xfId="18421"/>
    <cellStyle name="Финансовый 3 3 4 2 2 2 2 3" xfId="18422"/>
    <cellStyle name="Финансовый 3 3 4 2 2 2 3" xfId="7552"/>
    <cellStyle name="Финансовый 3 3 4 2 2 2 3 2" xfId="18423"/>
    <cellStyle name="Финансовый 3 3 4 2 2 2 4" xfId="18424"/>
    <cellStyle name="Финансовый 3 3 4 2 2 3" xfId="3462"/>
    <cellStyle name="Финансовый 3 3 4 2 2 3 2" xfId="8580"/>
    <cellStyle name="Финансовый 3 3 4 2 2 3 2 2" xfId="18425"/>
    <cellStyle name="Финансовый 3 3 4 2 2 3 3" xfId="18426"/>
    <cellStyle name="Финансовый 3 3 4 2 2 4" xfId="6524"/>
    <cellStyle name="Финансовый 3 3 4 2 2 4 2" xfId="18427"/>
    <cellStyle name="Финансовый 3 3 4 2 2 5" xfId="18428"/>
    <cellStyle name="Финансовый 3 3 4 2 2 6" xfId="18429"/>
    <cellStyle name="Финансовый 3 3 4 2 3" xfId="1006"/>
    <cellStyle name="Финансовый 3 3 4 2 3 2" xfId="2125"/>
    <cellStyle name="Финансовый 3 3 4 2 3 2 2" xfId="4663"/>
    <cellStyle name="Финансовый 3 3 4 2 3 2 2 2" xfId="9781"/>
    <cellStyle name="Финансовый 3 3 4 2 3 2 2 2 2" xfId="18430"/>
    <cellStyle name="Финансовый 3 3 4 2 3 2 2 3" xfId="18431"/>
    <cellStyle name="Финансовый 3 3 4 2 3 2 3" xfId="7725"/>
    <cellStyle name="Финансовый 3 3 4 2 3 2 3 2" xfId="18432"/>
    <cellStyle name="Финансовый 3 3 4 2 3 2 4" xfId="18433"/>
    <cellStyle name="Финансовый 3 3 4 2 3 3" xfId="3635"/>
    <cellStyle name="Финансовый 3 3 4 2 3 3 2" xfId="8753"/>
    <cellStyle name="Финансовый 3 3 4 2 3 3 2 2" xfId="18434"/>
    <cellStyle name="Финансовый 3 3 4 2 3 3 3" xfId="18435"/>
    <cellStyle name="Финансовый 3 3 4 2 3 4" xfId="6697"/>
    <cellStyle name="Финансовый 3 3 4 2 3 4 2" xfId="18436"/>
    <cellStyle name="Финансовый 3 3 4 2 3 5" xfId="18437"/>
    <cellStyle name="Финансовый 3 3 4 2 4" xfId="1177"/>
    <cellStyle name="Финансовый 3 3 4 2 4 2" xfId="2296"/>
    <cellStyle name="Финансовый 3 3 4 2 4 2 2" xfId="4834"/>
    <cellStyle name="Финансовый 3 3 4 2 4 2 2 2" xfId="9952"/>
    <cellStyle name="Финансовый 3 3 4 2 4 2 2 2 2" xfId="18438"/>
    <cellStyle name="Финансовый 3 3 4 2 4 2 2 3" xfId="18439"/>
    <cellStyle name="Финансовый 3 3 4 2 4 2 3" xfId="7896"/>
    <cellStyle name="Финансовый 3 3 4 2 4 2 3 2" xfId="18440"/>
    <cellStyle name="Финансовый 3 3 4 2 4 2 4" xfId="18441"/>
    <cellStyle name="Финансовый 3 3 4 2 4 3" xfId="3806"/>
    <cellStyle name="Финансовый 3 3 4 2 4 3 2" xfId="8924"/>
    <cellStyle name="Финансовый 3 3 4 2 4 3 2 2" xfId="18442"/>
    <cellStyle name="Финансовый 3 3 4 2 4 3 3" xfId="18443"/>
    <cellStyle name="Финансовый 3 3 4 2 4 4" xfId="6868"/>
    <cellStyle name="Финансовый 3 3 4 2 4 4 2" xfId="18444"/>
    <cellStyle name="Финансовый 3 3 4 2 4 5" xfId="18445"/>
    <cellStyle name="Финансовый 3 3 4 2 5" xfId="1361"/>
    <cellStyle name="Финансовый 3 3 4 2 5 2" xfId="2467"/>
    <cellStyle name="Финансовый 3 3 4 2 5 2 2" xfId="5005"/>
    <cellStyle name="Финансовый 3 3 4 2 5 2 2 2" xfId="10123"/>
    <cellStyle name="Финансовый 3 3 4 2 5 2 2 2 2" xfId="18446"/>
    <cellStyle name="Финансовый 3 3 4 2 5 2 2 3" xfId="18447"/>
    <cellStyle name="Финансовый 3 3 4 2 5 2 3" xfId="8067"/>
    <cellStyle name="Финансовый 3 3 4 2 5 2 3 2" xfId="18448"/>
    <cellStyle name="Финансовый 3 3 4 2 5 2 4" xfId="18449"/>
    <cellStyle name="Финансовый 3 3 4 2 5 3" xfId="3977"/>
    <cellStyle name="Финансовый 3 3 4 2 5 3 2" xfId="9095"/>
    <cellStyle name="Финансовый 3 3 4 2 5 3 2 2" xfId="18450"/>
    <cellStyle name="Финансовый 3 3 4 2 5 3 3" xfId="18451"/>
    <cellStyle name="Финансовый 3 3 4 2 5 4" xfId="7039"/>
    <cellStyle name="Финансовый 3 3 4 2 5 4 2" xfId="18452"/>
    <cellStyle name="Финансовый 3 3 4 2 5 5" xfId="18453"/>
    <cellStyle name="Финансовый 3 3 4 2 6" xfId="1532"/>
    <cellStyle name="Финансовый 3 3 4 2 6 2" xfId="2638"/>
    <cellStyle name="Финансовый 3 3 4 2 6 2 2" xfId="5176"/>
    <cellStyle name="Финансовый 3 3 4 2 6 2 2 2" xfId="10294"/>
    <cellStyle name="Финансовый 3 3 4 2 6 2 2 2 2" xfId="18454"/>
    <cellStyle name="Финансовый 3 3 4 2 6 2 2 3" xfId="18455"/>
    <cellStyle name="Финансовый 3 3 4 2 6 2 3" xfId="8238"/>
    <cellStyle name="Финансовый 3 3 4 2 6 2 3 2" xfId="18456"/>
    <cellStyle name="Финансовый 3 3 4 2 6 2 4" xfId="18457"/>
    <cellStyle name="Финансовый 3 3 4 2 6 3" xfId="4148"/>
    <cellStyle name="Финансовый 3 3 4 2 6 3 2" xfId="9266"/>
    <cellStyle name="Финансовый 3 3 4 2 6 3 2 2" xfId="18458"/>
    <cellStyle name="Финансовый 3 3 4 2 6 3 3" xfId="18459"/>
    <cellStyle name="Финансовый 3 3 4 2 6 4" xfId="7210"/>
    <cellStyle name="Финансовый 3 3 4 2 6 4 2" xfId="18460"/>
    <cellStyle name="Финансовый 3 3 4 2 6 5" xfId="18461"/>
    <cellStyle name="Финансовый 3 3 4 2 7" xfId="1703"/>
    <cellStyle name="Финансовый 3 3 4 2 7 2" xfId="2809"/>
    <cellStyle name="Финансовый 3 3 4 2 7 2 2" xfId="5347"/>
    <cellStyle name="Финансовый 3 3 4 2 7 2 2 2" xfId="10465"/>
    <cellStyle name="Финансовый 3 3 4 2 7 2 2 2 2" xfId="18462"/>
    <cellStyle name="Финансовый 3 3 4 2 7 2 2 3" xfId="18463"/>
    <cellStyle name="Финансовый 3 3 4 2 7 2 3" xfId="8409"/>
    <cellStyle name="Финансовый 3 3 4 2 7 2 3 2" xfId="18464"/>
    <cellStyle name="Финансовый 3 3 4 2 7 2 4" xfId="18465"/>
    <cellStyle name="Финансовый 3 3 4 2 7 3" xfId="4319"/>
    <cellStyle name="Финансовый 3 3 4 2 7 3 2" xfId="9437"/>
    <cellStyle name="Финансовый 3 3 4 2 7 3 2 2" xfId="18466"/>
    <cellStyle name="Финансовый 3 3 4 2 7 3 3" xfId="18467"/>
    <cellStyle name="Финансовый 3 3 4 2 7 4" xfId="7381"/>
    <cellStyle name="Финансовый 3 3 4 2 7 4 2" xfId="18468"/>
    <cellStyle name="Финансовый 3 3 4 2 7 5" xfId="18469"/>
    <cellStyle name="Финансовый 3 3 4 2 8" xfId="1769"/>
    <cellStyle name="Финансовый 3 3 4 2 9" xfId="3165"/>
    <cellStyle name="Финансовый 3 3 4 3" xfId="561"/>
    <cellStyle name="Финансовый 3 3 4 3 2" xfId="3166"/>
    <cellStyle name="Финансовый 3 3 4 3 3" xfId="2903"/>
    <cellStyle name="Финансовый 3 3 4 4" xfId="18470"/>
    <cellStyle name="Финансовый 3 3 5" xfId="562"/>
    <cellStyle name="Финансовый 3 3 5 2" xfId="831"/>
    <cellStyle name="Финансовый 3 3 5 2 2" xfId="1953"/>
    <cellStyle name="Финансовый 3 3 5 2 2 2" xfId="4491"/>
    <cellStyle name="Финансовый 3 3 5 2 2 2 2" xfId="9609"/>
    <cellStyle name="Финансовый 3 3 5 2 2 2 2 2" xfId="18471"/>
    <cellStyle name="Финансовый 3 3 5 2 2 2 3" xfId="18472"/>
    <cellStyle name="Финансовый 3 3 5 2 2 3" xfId="7553"/>
    <cellStyle name="Финансовый 3 3 5 2 2 3 2" xfId="18473"/>
    <cellStyle name="Финансовый 3 3 5 2 2 4" xfId="18474"/>
    <cellStyle name="Финансовый 3 3 5 2 3" xfId="3463"/>
    <cellStyle name="Финансовый 3 3 5 2 3 2" xfId="8581"/>
    <cellStyle name="Финансовый 3 3 5 2 3 2 2" xfId="18475"/>
    <cellStyle name="Финансовый 3 3 5 2 3 3" xfId="18476"/>
    <cellStyle name="Финансовый 3 3 5 2 4" xfId="6525"/>
    <cellStyle name="Финансовый 3 3 5 2 4 2" xfId="18477"/>
    <cellStyle name="Финансовый 3 3 5 2 5" xfId="18478"/>
    <cellStyle name="Финансовый 3 3 5 2 6" xfId="18479"/>
    <cellStyle name="Финансовый 3 3 5 3" xfId="1007"/>
    <cellStyle name="Финансовый 3 3 5 3 2" xfId="2126"/>
    <cellStyle name="Финансовый 3 3 5 3 2 2" xfId="4664"/>
    <cellStyle name="Финансовый 3 3 5 3 2 2 2" xfId="9782"/>
    <cellStyle name="Финансовый 3 3 5 3 2 2 2 2" xfId="18480"/>
    <cellStyle name="Финансовый 3 3 5 3 2 2 3" xfId="18481"/>
    <cellStyle name="Финансовый 3 3 5 3 2 3" xfId="7726"/>
    <cellStyle name="Финансовый 3 3 5 3 2 3 2" xfId="18482"/>
    <cellStyle name="Финансовый 3 3 5 3 2 4" xfId="18483"/>
    <cellStyle name="Финансовый 3 3 5 3 3" xfId="3636"/>
    <cellStyle name="Финансовый 3 3 5 3 3 2" xfId="8754"/>
    <cellStyle name="Финансовый 3 3 5 3 3 2 2" xfId="18484"/>
    <cellStyle name="Финансовый 3 3 5 3 3 3" xfId="18485"/>
    <cellStyle name="Финансовый 3 3 5 3 4" xfId="6698"/>
    <cellStyle name="Финансовый 3 3 5 3 4 2" xfId="18486"/>
    <cellStyle name="Финансовый 3 3 5 3 5" xfId="18487"/>
    <cellStyle name="Финансовый 3 3 5 4" xfId="1178"/>
    <cellStyle name="Финансовый 3 3 5 4 2" xfId="2297"/>
    <cellStyle name="Финансовый 3 3 5 4 2 2" xfId="4835"/>
    <cellStyle name="Финансовый 3 3 5 4 2 2 2" xfId="9953"/>
    <cellStyle name="Финансовый 3 3 5 4 2 2 2 2" xfId="18488"/>
    <cellStyle name="Финансовый 3 3 5 4 2 2 3" xfId="18489"/>
    <cellStyle name="Финансовый 3 3 5 4 2 3" xfId="7897"/>
    <cellStyle name="Финансовый 3 3 5 4 2 3 2" xfId="18490"/>
    <cellStyle name="Финансовый 3 3 5 4 2 4" xfId="18491"/>
    <cellStyle name="Финансовый 3 3 5 4 3" xfId="3807"/>
    <cellStyle name="Финансовый 3 3 5 4 3 2" xfId="8925"/>
    <cellStyle name="Финансовый 3 3 5 4 3 2 2" xfId="18492"/>
    <cellStyle name="Финансовый 3 3 5 4 3 3" xfId="18493"/>
    <cellStyle name="Финансовый 3 3 5 4 4" xfId="6869"/>
    <cellStyle name="Финансовый 3 3 5 4 4 2" xfId="18494"/>
    <cellStyle name="Финансовый 3 3 5 4 5" xfId="18495"/>
    <cellStyle name="Финансовый 3 3 5 5" xfId="1362"/>
    <cellStyle name="Финансовый 3 3 5 5 2" xfId="2468"/>
    <cellStyle name="Финансовый 3 3 5 5 2 2" xfId="5006"/>
    <cellStyle name="Финансовый 3 3 5 5 2 2 2" xfId="10124"/>
    <cellStyle name="Финансовый 3 3 5 5 2 2 2 2" xfId="18496"/>
    <cellStyle name="Финансовый 3 3 5 5 2 2 3" xfId="18497"/>
    <cellStyle name="Финансовый 3 3 5 5 2 3" xfId="8068"/>
    <cellStyle name="Финансовый 3 3 5 5 2 3 2" xfId="18498"/>
    <cellStyle name="Финансовый 3 3 5 5 2 4" xfId="18499"/>
    <cellStyle name="Финансовый 3 3 5 5 3" xfId="3978"/>
    <cellStyle name="Финансовый 3 3 5 5 3 2" xfId="9096"/>
    <cellStyle name="Финансовый 3 3 5 5 3 2 2" xfId="18500"/>
    <cellStyle name="Финансовый 3 3 5 5 3 3" xfId="18501"/>
    <cellStyle name="Финансовый 3 3 5 5 4" xfId="7040"/>
    <cellStyle name="Финансовый 3 3 5 5 4 2" xfId="18502"/>
    <cellStyle name="Финансовый 3 3 5 5 5" xfId="18503"/>
    <cellStyle name="Финансовый 3 3 5 6" xfId="1533"/>
    <cellStyle name="Финансовый 3 3 5 6 2" xfId="2639"/>
    <cellStyle name="Финансовый 3 3 5 6 2 2" xfId="5177"/>
    <cellStyle name="Финансовый 3 3 5 6 2 2 2" xfId="10295"/>
    <cellStyle name="Финансовый 3 3 5 6 2 2 2 2" xfId="18504"/>
    <cellStyle name="Финансовый 3 3 5 6 2 2 3" xfId="18505"/>
    <cellStyle name="Финансовый 3 3 5 6 2 3" xfId="8239"/>
    <cellStyle name="Финансовый 3 3 5 6 2 3 2" xfId="18506"/>
    <cellStyle name="Финансовый 3 3 5 6 2 4" xfId="18507"/>
    <cellStyle name="Финансовый 3 3 5 6 3" xfId="4149"/>
    <cellStyle name="Финансовый 3 3 5 6 3 2" xfId="9267"/>
    <cellStyle name="Финансовый 3 3 5 6 3 2 2" xfId="18508"/>
    <cellStyle name="Финансовый 3 3 5 6 3 3" xfId="18509"/>
    <cellStyle name="Финансовый 3 3 5 6 4" xfId="7211"/>
    <cellStyle name="Финансовый 3 3 5 6 4 2" xfId="18510"/>
    <cellStyle name="Финансовый 3 3 5 6 5" xfId="18511"/>
    <cellStyle name="Финансовый 3 3 5 7" xfId="1704"/>
    <cellStyle name="Финансовый 3 3 5 7 2" xfId="2810"/>
    <cellStyle name="Финансовый 3 3 5 7 2 2" xfId="5348"/>
    <cellStyle name="Финансовый 3 3 5 7 2 2 2" xfId="10466"/>
    <cellStyle name="Финансовый 3 3 5 7 2 2 2 2" xfId="18512"/>
    <cellStyle name="Финансовый 3 3 5 7 2 2 3" xfId="18513"/>
    <cellStyle name="Финансовый 3 3 5 7 2 3" xfId="8410"/>
    <cellStyle name="Финансовый 3 3 5 7 2 3 2" xfId="18514"/>
    <cellStyle name="Финансовый 3 3 5 7 2 4" xfId="18515"/>
    <cellStyle name="Финансовый 3 3 5 7 3" xfId="4320"/>
    <cellStyle name="Финансовый 3 3 5 7 3 2" xfId="9438"/>
    <cellStyle name="Финансовый 3 3 5 7 3 2 2" xfId="18516"/>
    <cellStyle name="Финансовый 3 3 5 7 3 3" xfId="18517"/>
    <cellStyle name="Финансовый 3 3 5 7 4" xfId="7382"/>
    <cellStyle name="Финансовый 3 3 5 7 4 2" xfId="18518"/>
    <cellStyle name="Финансовый 3 3 5 7 5" xfId="18519"/>
    <cellStyle name="Финансовый 3 3 5 8" xfId="1770"/>
    <cellStyle name="Финансовый 3 3 5 9" xfId="3167"/>
    <cellStyle name="Финансовый 3 3 6" xfId="563"/>
    <cellStyle name="Финансовый 3 3 6 2" xfId="3168"/>
    <cellStyle name="Финансовый 3 3 6 3" xfId="2898"/>
    <cellStyle name="Финансовый 3 3 7" xfId="18520"/>
    <cellStyle name="Финансовый 3 4" xfId="564"/>
    <cellStyle name="Финансовый 3 4 2" xfId="565"/>
    <cellStyle name="Финансовый 3 4 2 2" xfId="566"/>
    <cellStyle name="Финансовый 3 4 2 2 2" xfId="832"/>
    <cellStyle name="Финансовый 3 4 2 2 2 2" xfId="1954"/>
    <cellStyle name="Финансовый 3 4 2 2 2 2 2" xfId="4492"/>
    <cellStyle name="Финансовый 3 4 2 2 2 2 2 2" xfId="9610"/>
    <cellStyle name="Финансовый 3 4 2 2 2 2 2 2 2" xfId="18521"/>
    <cellStyle name="Финансовый 3 4 2 2 2 2 2 3" xfId="18522"/>
    <cellStyle name="Финансовый 3 4 2 2 2 2 3" xfId="7554"/>
    <cellStyle name="Финансовый 3 4 2 2 2 2 3 2" xfId="18523"/>
    <cellStyle name="Финансовый 3 4 2 2 2 2 4" xfId="18524"/>
    <cellStyle name="Финансовый 3 4 2 2 2 3" xfId="3464"/>
    <cellStyle name="Финансовый 3 4 2 2 2 3 2" xfId="8582"/>
    <cellStyle name="Финансовый 3 4 2 2 2 3 2 2" xfId="18525"/>
    <cellStyle name="Финансовый 3 4 2 2 2 3 3" xfId="18526"/>
    <cellStyle name="Финансовый 3 4 2 2 2 4" xfId="6526"/>
    <cellStyle name="Финансовый 3 4 2 2 2 4 2" xfId="18527"/>
    <cellStyle name="Финансовый 3 4 2 2 2 5" xfId="18528"/>
    <cellStyle name="Финансовый 3 4 2 2 2 6" xfId="18529"/>
    <cellStyle name="Финансовый 3 4 2 2 3" xfId="1008"/>
    <cellStyle name="Финансовый 3 4 2 2 3 2" xfId="2127"/>
    <cellStyle name="Финансовый 3 4 2 2 3 2 2" xfId="4665"/>
    <cellStyle name="Финансовый 3 4 2 2 3 2 2 2" xfId="9783"/>
    <cellStyle name="Финансовый 3 4 2 2 3 2 2 2 2" xfId="18530"/>
    <cellStyle name="Финансовый 3 4 2 2 3 2 2 3" xfId="18531"/>
    <cellStyle name="Финансовый 3 4 2 2 3 2 3" xfId="7727"/>
    <cellStyle name="Финансовый 3 4 2 2 3 2 3 2" xfId="18532"/>
    <cellStyle name="Финансовый 3 4 2 2 3 2 4" xfId="18533"/>
    <cellStyle name="Финансовый 3 4 2 2 3 3" xfId="3637"/>
    <cellStyle name="Финансовый 3 4 2 2 3 3 2" xfId="8755"/>
    <cellStyle name="Финансовый 3 4 2 2 3 3 2 2" xfId="18534"/>
    <cellStyle name="Финансовый 3 4 2 2 3 3 3" xfId="18535"/>
    <cellStyle name="Финансовый 3 4 2 2 3 4" xfId="6699"/>
    <cellStyle name="Финансовый 3 4 2 2 3 4 2" xfId="18536"/>
    <cellStyle name="Финансовый 3 4 2 2 3 5" xfId="18537"/>
    <cellStyle name="Финансовый 3 4 2 2 4" xfId="1179"/>
    <cellStyle name="Финансовый 3 4 2 2 4 2" xfId="2298"/>
    <cellStyle name="Финансовый 3 4 2 2 4 2 2" xfId="4836"/>
    <cellStyle name="Финансовый 3 4 2 2 4 2 2 2" xfId="9954"/>
    <cellStyle name="Финансовый 3 4 2 2 4 2 2 2 2" xfId="18538"/>
    <cellStyle name="Финансовый 3 4 2 2 4 2 2 3" xfId="18539"/>
    <cellStyle name="Финансовый 3 4 2 2 4 2 3" xfId="7898"/>
    <cellStyle name="Финансовый 3 4 2 2 4 2 3 2" xfId="18540"/>
    <cellStyle name="Финансовый 3 4 2 2 4 2 4" xfId="18541"/>
    <cellStyle name="Финансовый 3 4 2 2 4 3" xfId="3808"/>
    <cellStyle name="Финансовый 3 4 2 2 4 3 2" xfId="8926"/>
    <cellStyle name="Финансовый 3 4 2 2 4 3 2 2" xfId="18542"/>
    <cellStyle name="Финансовый 3 4 2 2 4 3 3" xfId="18543"/>
    <cellStyle name="Финансовый 3 4 2 2 4 4" xfId="6870"/>
    <cellStyle name="Финансовый 3 4 2 2 4 4 2" xfId="18544"/>
    <cellStyle name="Финансовый 3 4 2 2 4 5" xfId="18545"/>
    <cellStyle name="Финансовый 3 4 2 2 5" xfId="1363"/>
    <cellStyle name="Финансовый 3 4 2 2 5 2" xfId="2469"/>
    <cellStyle name="Финансовый 3 4 2 2 5 2 2" xfId="5007"/>
    <cellStyle name="Финансовый 3 4 2 2 5 2 2 2" xfId="10125"/>
    <cellStyle name="Финансовый 3 4 2 2 5 2 2 2 2" xfId="18546"/>
    <cellStyle name="Финансовый 3 4 2 2 5 2 2 3" xfId="18547"/>
    <cellStyle name="Финансовый 3 4 2 2 5 2 3" xfId="8069"/>
    <cellStyle name="Финансовый 3 4 2 2 5 2 3 2" xfId="18548"/>
    <cellStyle name="Финансовый 3 4 2 2 5 2 4" xfId="18549"/>
    <cellStyle name="Финансовый 3 4 2 2 5 3" xfId="3979"/>
    <cellStyle name="Финансовый 3 4 2 2 5 3 2" xfId="9097"/>
    <cellStyle name="Финансовый 3 4 2 2 5 3 2 2" xfId="18550"/>
    <cellStyle name="Финансовый 3 4 2 2 5 3 3" xfId="18551"/>
    <cellStyle name="Финансовый 3 4 2 2 5 4" xfId="7041"/>
    <cellStyle name="Финансовый 3 4 2 2 5 4 2" xfId="18552"/>
    <cellStyle name="Финансовый 3 4 2 2 5 5" xfId="18553"/>
    <cellStyle name="Финансовый 3 4 2 2 6" xfId="1534"/>
    <cellStyle name="Финансовый 3 4 2 2 6 2" xfId="2640"/>
    <cellStyle name="Финансовый 3 4 2 2 6 2 2" xfId="5178"/>
    <cellStyle name="Финансовый 3 4 2 2 6 2 2 2" xfId="10296"/>
    <cellStyle name="Финансовый 3 4 2 2 6 2 2 2 2" xfId="18554"/>
    <cellStyle name="Финансовый 3 4 2 2 6 2 2 3" xfId="18555"/>
    <cellStyle name="Финансовый 3 4 2 2 6 2 3" xfId="8240"/>
    <cellStyle name="Финансовый 3 4 2 2 6 2 3 2" xfId="18556"/>
    <cellStyle name="Финансовый 3 4 2 2 6 2 4" xfId="18557"/>
    <cellStyle name="Финансовый 3 4 2 2 6 3" xfId="4150"/>
    <cellStyle name="Финансовый 3 4 2 2 6 3 2" xfId="9268"/>
    <cellStyle name="Финансовый 3 4 2 2 6 3 2 2" xfId="18558"/>
    <cellStyle name="Финансовый 3 4 2 2 6 3 3" xfId="18559"/>
    <cellStyle name="Финансовый 3 4 2 2 6 4" xfId="7212"/>
    <cellStyle name="Финансовый 3 4 2 2 6 4 2" xfId="18560"/>
    <cellStyle name="Финансовый 3 4 2 2 6 5" xfId="18561"/>
    <cellStyle name="Финансовый 3 4 2 2 7" xfId="1705"/>
    <cellStyle name="Финансовый 3 4 2 2 7 2" xfId="2811"/>
    <cellStyle name="Финансовый 3 4 2 2 7 2 2" xfId="5349"/>
    <cellStyle name="Финансовый 3 4 2 2 7 2 2 2" xfId="10467"/>
    <cellStyle name="Финансовый 3 4 2 2 7 2 2 2 2" xfId="18562"/>
    <cellStyle name="Финансовый 3 4 2 2 7 2 2 3" xfId="18563"/>
    <cellStyle name="Финансовый 3 4 2 2 7 2 3" xfId="8411"/>
    <cellStyle name="Финансовый 3 4 2 2 7 2 3 2" xfId="18564"/>
    <cellStyle name="Финансовый 3 4 2 2 7 2 4" xfId="18565"/>
    <cellStyle name="Финансовый 3 4 2 2 7 3" xfId="4321"/>
    <cellStyle name="Финансовый 3 4 2 2 7 3 2" xfId="9439"/>
    <cellStyle name="Финансовый 3 4 2 2 7 3 2 2" xfId="18566"/>
    <cellStyle name="Финансовый 3 4 2 2 7 3 3" xfId="18567"/>
    <cellStyle name="Финансовый 3 4 2 2 7 4" xfId="7383"/>
    <cellStyle name="Финансовый 3 4 2 2 7 4 2" xfId="18568"/>
    <cellStyle name="Финансовый 3 4 2 2 7 5" xfId="18569"/>
    <cellStyle name="Финансовый 3 4 2 2 8" xfId="1771"/>
    <cellStyle name="Финансовый 3 4 2 2 9" xfId="3169"/>
    <cellStyle name="Финансовый 3 4 2 3" xfId="567"/>
    <cellStyle name="Финансовый 3 4 2 3 2" xfId="3170"/>
    <cellStyle name="Финансовый 3 4 2 3 3" xfId="2905"/>
    <cellStyle name="Финансовый 3 4 2 4" xfId="18570"/>
    <cellStyle name="Финансовый 3 4 3" xfId="568"/>
    <cellStyle name="Финансовый 3 4 3 2" xfId="569"/>
    <cellStyle name="Финансовый 3 4 3 2 2" xfId="833"/>
    <cellStyle name="Финансовый 3 4 3 2 2 2" xfId="1955"/>
    <cellStyle name="Финансовый 3 4 3 2 2 2 2" xfId="4493"/>
    <cellStyle name="Финансовый 3 4 3 2 2 2 2 2" xfId="9611"/>
    <cellStyle name="Финансовый 3 4 3 2 2 2 2 2 2" xfId="18571"/>
    <cellStyle name="Финансовый 3 4 3 2 2 2 2 3" xfId="18572"/>
    <cellStyle name="Финансовый 3 4 3 2 2 2 3" xfId="7555"/>
    <cellStyle name="Финансовый 3 4 3 2 2 2 3 2" xfId="18573"/>
    <cellStyle name="Финансовый 3 4 3 2 2 2 4" xfId="18574"/>
    <cellStyle name="Финансовый 3 4 3 2 2 3" xfId="3465"/>
    <cellStyle name="Финансовый 3 4 3 2 2 3 2" xfId="8583"/>
    <cellStyle name="Финансовый 3 4 3 2 2 3 2 2" xfId="18575"/>
    <cellStyle name="Финансовый 3 4 3 2 2 3 3" xfId="18576"/>
    <cellStyle name="Финансовый 3 4 3 2 2 4" xfId="6527"/>
    <cellStyle name="Финансовый 3 4 3 2 2 4 2" xfId="18577"/>
    <cellStyle name="Финансовый 3 4 3 2 2 5" xfId="18578"/>
    <cellStyle name="Финансовый 3 4 3 2 2 6" xfId="18579"/>
    <cellStyle name="Финансовый 3 4 3 2 3" xfId="1009"/>
    <cellStyle name="Финансовый 3 4 3 2 3 2" xfId="2128"/>
    <cellStyle name="Финансовый 3 4 3 2 3 2 2" xfId="4666"/>
    <cellStyle name="Финансовый 3 4 3 2 3 2 2 2" xfId="9784"/>
    <cellStyle name="Финансовый 3 4 3 2 3 2 2 2 2" xfId="18580"/>
    <cellStyle name="Финансовый 3 4 3 2 3 2 2 3" xfId="18581"/>
    <cellStyle name="Финансовый 3 4 3 2 3 2 3" xfId="7728"/>
    <cellStyle name="Финансовый 3 4 3 2 3 2 3 2" xfId="18582"/>
    <cellStyle name="Финансовый 3 4 3 2 3 2 4" xfId="18583"/>
    <cellStyle name="Финансовый 3 4 3 2 3 3" xfId="3638"/>
    <cellStyle name="Финансовый 3 4 3 2 3 3 2" xfId="8756"/>
    <cellStyle name="Финансовый 3 4 3 2 3 3 2 2" xfId="18584"/>
    <cellStyle name="Финансовый 3 4 3 2 3 3 3" xfId="18585"/>
    <cellStyle name="Финансовый 3 4 3 2 3 4" xfId="6700"/>
    <cellStyle name="Финансовый 3 4 3 2 3 4 2" xfId="18586"/>
    <cellStyle name="Финансовый 3 4 3 2 3 5" xfId="18587"/>
    <cellStyle name="Финансовый 3 4 3 2 4" xfId="1180"/>
    <cellStyle name="Финансовый 3 4 3 2 4 2" xfId="2299"/>
    <cellStyle name="Финансовый 3 4 3 2 4 2 2" xfId="4837"/>
    <cellStyle name="Финансовый 3 4 3 2 4 2 2 2" xfId="9955"/>
    <cellStyle name="Финансовый 3 4 3 2 4 2 2 2 2" xfId="18588"/>
    <cellStyle name="Финансовый 3 4 3 2 4 2 2 3" xfId="18589"/>
    <cellStyle name="Финансовый 3 4 3 2 4 2 3" xfId="7899"/>
    <cellStyle name="Финансовый 3 4 3 2 4 2 3 2" xfId="18590"/>
    <cellStyle name="Финансовый 3 4 3 2 4 2 4" xfId="18591"/>
    <cellStyle name="Финансовый 3 4 3 2 4 3" xfId="3809"/>
    <cellStyle name="Финансовый 3 4 3 2 4 3 2" xfId="8927"/>
    <cellStyle name="Финансовый 3 4 3 2 4 3 2 2" xfId="18592"/>
    <cellStyle name="Финансовый 3 4 3 2 4 3 3" xfId="18593"/>
    <cellStyle name="Финансовый 3 4 3 2 4 4" xfId="6871"/>
    <cellStyle name="Финансовый 3 4 3 2 4 4 2" xfId="18594"/>
    <cellStyle name="Финансовый 3 4 3 2 4 5" xfId="18595"/>
    <cellStyle name="Финансовый 3 4 3 2 5" xfId="1364"/>
    <cellStyle name="Финансовый 3 4 3 2 5 2" xfId="2470"/>
    <cellStyle name="Финансовый 3 4 3 2 5 2 2" xfId="5008"/>
    <cellStyle name="Финансовый 3 4 3 2 5 2 2 2" xfId="10126"/>
    <cellStyle name="Финансовый 3 4 3 2 5 2 2 2 2" xfId="18596"/>
    <cellStyle name="Финансовый 3 4 3 2 5 2 2 3" xfId="18597"/>
    <cellStyle name="Финансовый 3 4 3 2 5 2 3" xfId="8070"/>
    <cellStyle name="Финансовый 3 4 3 2 5 2 3 2" xfId="18598"/>
    <cellStyle name="Финансовый 3 4 3 2 5 2 4" xfId="18599"/>
    <cellStyle name="Финансовый 3 4 3 2 5 3" xfId="3980"/>
    <cellStyle name="Финансовый 3 4 3 2 5 3 2" xfId="9098"/>
    <cellStyle name="Финансовый 3 4 3 2 5 3 2 2" xfId="18600"/>
    <cellStyle name="Финансовый 3 4 3 2 5 3 3" xfId="18601"/>
    <cellStyle name="Финансовый 3 4 3 2 5 4" xfId="7042"/>
    <cellStyle name="Финансовый 3 4 3 2 5 4 2" xfId="18602"/>
    <cellStyle name="Финансовый 3 4 3 2 5 5" xfId="18603"/>
    <cellStyle name="Финансовый 3 4 3 2 6" xfId="1535"/>
    <cellStyle name="Финансовый 3 4 3 2 6 2" xfId="2641"/>
    <cellStyle name="Финансовый 3 4 3 2 6 2 2" xfId="5179"/>
    <cellStyle name="Финансовый 3 4 3 2 6 2 2 2" xfId="10297"/>
    <cellStyle name="Финансовый 3 4 3 2 6 2 2 2 2" xfId="18604"/>
    <cellStyle name="Финансовый 3 4 3 2 6 2 2 3" xfId="18605"/>
    <cellStyle name="Финансовый 3 4 3 2 6 2 3" xfId="8241"/>
    <cellStyle name="Финансовый 3 4 3 2 6 2 3 2" xfId="18606"/>
    <cellStyle name="Финансовый 3 4 3 2 6 2 4" xfId="18607"/>
    <cellStyle name="Финансовый 3 4 3 2 6 3" xfId="4151"/>
    <cellStyle name="Финансовый 3 4 3 2 6 3 2" xfId="9269"/>
    <cellStyle name="Финансовый 3 4 3 2 6 3 2 2" xfId="18608"/>
    <cellStyle name="Финансовый 3 4 3 2 6 3 3" xfId="18609"/>
    <cellStyle name="Финансовый 3 4 3 2 6 4" xfId="7213"/>
    <cellStyle name="Финансовый 3 4 3 2 6 4 2" xfId="18610"/>
    <cellStyle name="Финансовый 3 4 3 2 6 5" xfId="18611"/>
    <cellStyle name="Финансовый 3 4 3 2 7" xfId="1706"/>
    <cellStyle name="Финансовый 3 4 3 2 7 2" xfId="2812"/>
    <cellStyle name="Финансовый 3 4 3 2 7 2 2" xfId="5350"/>
    <cellStyle name="Финансовый 3 4 3 2 7 2 2 2" xfId="10468"/>
    <cellStyle name="Финансовый 3 4 3 2 7 2 2 2 2" xfId="18612"/>
    <cellStyle name="Финансовый 3 4 3 2 7 2 2 3" xfId="18613"/>
    <cellStyle name="Финансовый 3 4 3 2 7 2 3" xfId="8412"/>
    <cellStyle name="Финансовый 3 4 3 2 7 2 3 2" xfId="18614"/>
    <cellStyle name="Финансовый 3 4 3 2 7 2 4" xfId="18615"/>
    <cellStyle name="Финансовый 3 4 3 2 7 3" xfId="4322"/>
    <cellStyle name="Финансовый 3 4 3 2 7 3 2" xfId="9440"/>
    <cellStyle name="Финансовый 3 4 3 2 7 3 2 2" xfId="18616"/>
    <cellStyle name="Финансовый 3 4 3 2 7 3 3" xfId="18617"/>
    <cellStyle name="Финансовый 3 4 3 2 7 4" xfId="7384"/>
    <cellStyle name="Финансовый 3 4 3 2 7 4 2" xfId="18618"/>
    <cellStyle name="Финансовый 3 4 3 2 7 5" xfId="18619"/>
    <cellStyle name="Финансовый 3 4 3 2 8" xfId="1772"/>
    <cellStyle name="Финансовый 3 4 3 2 9" xfId="3171"/>
    <cellStyle name="Финансовый 3 4 3 3" xfId="570"/>
    <cellStyle name="Финансовый 3 4 3 3 2" xfId="3172"/>
    <cellStyle name="Финансовый 3 4 3 3 3" xfId="2906"/>
    <cellStyle name="Финансовый 3 4 3 4" xfId="18620"/>
    <cellStyle name="Финансовый 3 4 4" xfId="571"/>
    <cellStyle name="Финансовый 3 4 4 2" xfId="834"/>
    <cellStyle name="Финансовый 3 4 4 2 2" xfId="1956"/>
    <cellStyle name="Финансовый 3 4 4 2 2 2" xfId="4494"/>
    <cellStyle name="Финансовый 3 4 4 2 2 2 2" xfId="9612"/>
    <cellStyle name="Финансовый 3 4 4 2 2 2 2 2" xfId="18621"/>
    <cellStyle name="Финансовый 3 4 4 2 2 2 3" xfId="18622"/>
    <cellStyle name="Финансовый 3 4 4 2 2 3" xfId="7556"/>
    <cellStyle name="Финансовый 3 4 4 2 2 3 2" xfId="18623"/>
    <cellStyle name="Финансовый 3 4 4 2 2 4" xfId="18624"/>
    <cellStyle name="Финансовый 3 4 4 2 3" xfId="3466"/>
    <cellStyle name="Финансовый 3 4 4 2 3 2" xfId="8584"/>
    <cellStyle name="Финансовый 3 4 4 2 3 2 2" xfId="18625"/>
    <cellStyle name="Финансовый 3 4 4 2 3 3" xfId="18626"/>
    <cellStyle name="Финансовый 3 4 4 2 4" xfId="6528"/>
    <cellStyle name="Финансовый 3 4 4 2 4 2" xfId="18627"/>
    <cellStyle name="Финансовый 3 4 4 2 5" xfId="18628"/>
    <cellStyle name="Финансовый 3 4 4 2 6" xfId="18629"/>
    <cellStyle name="Финансовый 3 4 4 3" xfId="1010"/>
    <cellStyle name="Финансовый 3 4 4 3 2" xfId="2129"/>
    <cellStyle name="Финансовый 3 4 4 3 2 2" xfId="4667"/>
    <cellStyle name="Финансовый 3 4 4 3 2 2 2" xfId="9785"/>
    <cellStyle name="Финансовый 3 4 4 3 2 2 2 2" xfId="18630"/>
    <cellStyle name="Финансовый 3 4 4 3 2 2 3" xfId="18631"/>
    <cellStyle name="Финансовый 3 4 4 3 2 3" xfId="7729"/>
    <cellStyle name="Финансовый 3 4 4 3 2 3 2" xfId="18632"/>
    <cellStyle name="Финансовый 3 4 4 3 2 4" xfId="18633"/>
    <cellStyle name="Финансовый 3 4 4 3 3" xfId="3639"/>
    <cellStyle name="Финансовый 3 4 4 3 3 2" xfId="8757"/>
    <cellStyle name="Финансовый 3 4 4 3 3 2 2" xfId="18634"/>
    <cellStyle name="Финансовый 3 4 4 3 3 3" xfId="18635"/>
    <cellStyle name="Финансовый 3 4 4 3 4" xfId="6701"/>
    <cellStyle name="Финансовый 3 4 4 3 4 2" xfId="18636"/>
    <cellStyle name="Финансовый 3 4 4 3 5" xfId="18637"/>
    <cellStyle name="Финансовый 3 4 4 4" xfId="1181"/>
    <cellStyle name="Финансовый 3 4 4 4 2" xfId="2300"/>
    <cellStyle name="Финансовый 3 4 4 4 2 2" xfId="4838"/>
    <cellStyle name="Финансовый 3 4 4 4 2 2 2" xfId="9956"/>
    <cellStyle name="Финансовый 3 4 4 4 2 2 2 2" xfId="18638"/>
    <cellStyle name="Финансовый 3 4 4 4 2 2 3" xfId="18639"/>
    <cellStyle name="Финансовый 3 4 4 4 2 3" xfId="7900"/>
    <cellStyle name="Финансовый 3 4 4 4 2 3 2" xfId="18640"/>
    <cellStyle name="Финансовый 3 4 4 4 2 4" xfId="18641"/>
    <cellStyle name="Финансовый 3 4 4 4 3" xfId="3810"/>
    <cellStyle name="Финансовый 3 4 4 4 3 2" xfId="8928"/>
    <cellStyle name="Финансовый 3 4 4 4 3 2 2" xfId="18642"/>
    <cellStyle name="Финансовый 3 4 4 4 3 3" xfId="18643"/>
    <cellStyle name="Финансовый 3 4 4 4 4" xfId="6872"/>
    <cellStyle name="Финансовый 3 4 4 4 4 2" xfId="18644"/>
    <cellStyle name="Финансовый 3 4 4 4 5" xfId="18645"/>
    <cellStyle name="Финансовый 3 4 4 5" xfId="1365"/>
    <cellStyle name="Финансовый 3 4 4 5 2" xfId="2471"/>
    <cellStyle name="Финансовый 3 4 4 5 2 2" xfId="5009"/>
    <cellStyle name="Финансовый 3 4 4 5 2 2 2" xfId="10127"/>
    <cellStyle name="Финансовый 3 4 4 5 2 2 2 2" xfId="18646"/>
    <cellStyle name="Финансовый 3 4 4 5 2 2 3" xfId="18647"/>
    <cellStyle name="Финансовый 3 4 4 5 2 3" xfId="8071"/>
    <cellStyle name="Финансовый 3 4 4 5 2 3 2" xfId="18648"/>
    <cellStyle name="Финансовый 3 4 4 5 2 4" xfId="18649"/>
    <cellStyle name="Финансовый 3 4 4 5 3" xfId="3981"/>
    <cellStyle name="Финансовый 3 4 4 5 3 2" xfId="9099"/>
    <cellStyle name="Финансовый 3 4 4 5 3 2 2" xfId="18650"/>
    <cellStyle name="Финансовый 3 4 4 5 3 3" xfId="18651"/>
    <cellStyle name="Финансовый 3 4 4 5 4" xfId="7043"/>
    <cellStyle name="Финансовый 3 4 4 5 4 2" xfId="18652"/>
    <cellStyle name="Финансовый 3 4 4 5 5" xfId="18653"/>
    <cellStyle name="Финансовый 3 4 4 6" xfId="1536"/>
    <cellStyle name="Финансовый 3 4 4 6 2" xfId="2642"/>
    <cellStyle name="Финансовый 3 4 4 6 2 2" xfId="5180"/>
    <cellStyle name="Финансовый 3 4 4 6 2 2 2" xfId="10298"/>
    <cellStyle name="Финансовый 3 4 4 6 2 2 2 2" xfId="18654"/>
    <cellStyle name="Финансовый 3 4 4 6 2 2 3" xfId="18655"/>
    <cellStyle name="Финансовый 3 4 4 6 2 3" xfId="8242"/>
    <cellStyle name="Финансовый 3 4 4 6 2 3 2" xfId="18656"/>
    <cellStyle name="Финансовый 3 4 4 6 2 4" xfId="18657"/>
    <cellStyle name="Финансовый 3 4 4 6 3" xfId="4152"/>
    <cellStyle name="Финансовый 3 4 4 6 3 2" xfId="9270"/>
    <cellStyle name="Финансовый 3 4 4 6 3 2 2" xfId="18658"/>
    <cellStyle name="Финансовый 3 4 4 6 3 3" xfId="18659"/>
    <cellStyle name="Финансовый 3 4 4 6 4" xfId="7214"/>
    <cellStyle name="Финансовый 3 4 4 6 4 2" xfId="18660"/>
    <cellStyle name="Финансовый 3 4 4 6 5" xfId="18661"/>
    <cellStyle name="Финансовый 3 4 4 7" xfId="1707"/>
    <cellStyle name="Финансовый 3 4 4 7 2" xfId="2813"/>
    <cellStyle name="Финансовый 3 4 4 7 2 2" xfId="5351"/>
    <cellStyle name="Финансовый 3 4 4 7 2 2 2" xfId="10469"/>
    <cellStyle name="Финансовый 3 4 4 7 2 2 2 2" xfId="18662"/>
    <cellStyle name="Финансовый 3 4 4 7 2 2 3" xfId="18663"/>
    <cellStyle name="Финансовый 3 4 4 7 2 3" xfId="8413"/>
    <cellStyle name="Финансовый 3 4 4 7 2 3 2" xfId="18664"/>
    <cellStyle name="Финансовый 3 4 4 7 2 4" xfId="18665"/>
    <cellStyle name="Финансовый 3 4 4 7 3" xfId="4323"/>
    <cellStyle name="Финансовый 3 4 4 7 3 2" xfId="9441"/>
    <cellStyle name="Финансовый 3 4 4 7 3 2 2" xfId="18666"/>
    <cellStyle name="Финансовый 3 4 4 7 3 3" xfId="18667"/>
    <cellStyle name="Финансовый 3 4 4 7 4" xfId="7385"/>
    <cellStyle name="Финансовый 3 4 4 7 4 2" xfId="18668"/>
    <cellStyle name="Финансовый 3 4 4 7 5" xfId="18669"/>
    <cellStyle name="Финансовый 3 4 4 8" xfId="1773"/>
    <cellStyle name="Финансовый 3 4 4 9" xfId="3173"/>
    <cellStyle name="Финансовый 3 4 5" xfId="572"/>
    <cellStyle name="Финансовый 3 4 5 2" xfId="3174"/>
    <cellStyle name="Финансовый 3 4 5 3" xfId="2904"/>
    <cellStyle name="Финансовый 3 4 6" xfId="18670"/>
    <cellStyle name="Финансовый 3 5" xfId="573"/>
    <cellStyle name="Финансовый 3 5 2" xfId="574"/>
    <cellStyle name="Финансовый 3 5 2 2" xfId="835"/>
    <cellStyle name="Финансовый 3 5 2 2 2" xfId="1957"/>
    <cellStyle name="Финансовый 3 5 2 2 2 2" xfId="4495"/>
    <cellStyle name="Финансовый 3 5 2 2 2 2 2" xfId="9613"/>
    <cellStyle name="Финансовый 3 5 2 2 2 2 2 2" xfId="18671"/>
    <cellStyle name="Финансовый 3 5 2 2 2 2 3" xfId="18672"/>
    <cellStyle name="Финансовый 3 5 2 2 2 3" xfId="7557"/>
    <cellStyle name="Финансовый 3 5 2 2 2 3 2" xfId="18673"/>
    <cellStyle name="Финансовый 3 5 2 2 2 4" xfId="18674"/>
    <cellStyle name="Финансовый 3 5 2 2 3" xfId="3467"/>
    <cellStyle name="Финансовый 3 5 2 2 3 2" xfId="8585"/>
    <cellStyle name="Финансовый 3 5 2 2 3 2 2" xfId="18675"/>
    <cellStyle name="Финансовый 3 5 2 2 3 3" xfId="18676"/>
    <cellStyle name="Финансовый 3 5 2 2 4" xfId="6529"/>
    <cellStyle name="Финансовый 3 5 2 2 4 2" xfId="18677"/>
    <cellStyle name="Финансовый 3 5 2 2 5" xfId="18678"/>
    <cellStyle name="Финансовый 3 5 2 2 6" xfId="18679"/>
    <cellStyle name="Финансовый 3 5 2 3" xfId="1011"/>
    <cellStyle name="Финансовый 3 5 2 3 2" xfId="2130"/>
    <cellStyle name="Финансовый 3 5 2 3 2 2" xfId="4668"/>
    <cellStyle name="Финансовый 3 5 2 3 2 2 2" xfId="9786"/>
    <cellStyle name="Финансовый 3 5 2 3 2 2 2 2" xfId="18680"/>
    <cellStyle name="Финансовый 3 5 2 3 2 2 3" xfId="18681"/>
    <cellStyle name="Финансовый 3 5 2 3 2 3" xfId="7730"/>
    <cellStyle name="Финансовый 3 5 2 3 2 3 2" xfId="18682"/>
    <cellStyle name="Финансовый 3 5 2 3 2 4" xfId="18683"/>
    <cellStyle name="Финансовый 3 5 2 3 3" xfId="3640"/>
    <cellStyle name="Финансовый 3 5 2 3 3 2" xfId="8758"/>
    <cellStyle name="Финансовый 3 5 2 3 3 2 2" xfId="18684"/>
    <cellStyle name="Финансовый 3 5 2 3 3 3" xfId="18685"/>
    <cellStyle name="Финансовый 3 5 2 3 4" xfId="6702"/>
    <cellStyle name="Финансовый 3 5 2 3 4 2" xfId="18686"/>
    <cellStyle name="Финансовый 3 5 2 3 5" xfId="18687"/>
    <cellStyle name="Финансовый 3 5 2 4" xfId="1182"/>
    <cellStyle name="Финансовый 3 5 2 4 2" xfId="2301"/>
    <cellStyle name="Финансовый 3 5 2 4 2 2" xfId="4839"/>
    <cellStyle name="Финансовый 3 5 2 4 2 2 2" xfId="9957"/>
    <cellStyle name="Финансовый 3 5 2 4 2 2 2 2" xfId="18688"/>
    <cellStyle name="Финансовый 3 5 2 4 2 2 3" xfId="18689"/>
    <cellStyle name="Финансовый 3 5 2 4 2 3" xfId="7901"/>
    <cellStyle name="Финансовый 3 5 2 4 2 3 2" xfId="18690"/>
    <cellStyle name="Финансовый 3 5 2 4 2 4" xfId="18691"/>
    <cellStyle name="Финансовый 3 5 2 4 3" xfId="3811"/>
    <cellStyle name="Финансовый 3 5 2 4 3 2" xfId="8929"/>
    <cellStyle name="Финансовый 3 5 2 4 3 2 2" xfId="18692"/>
    <cellStyle name="Финансовый 3 5 2 4 3 3" xfId="18693"/>
    <cellStyle name="Финансовый 3 5 2 4 4" xfId="6873"/>
    <cellStyle name="Финансовый 3 5 2 4 4 2" xfId="18694"/>
    <cellStyle name="Финансовый 3 5 2 4 5" xfId="18695"/>
    <cellStyle name="Финансовый 3 5 2 5" xfId="1366"/>
    <cellStyle name="Финансовый 3 5 2 5 2" xfId="2472"/>
    <cellStyle name="Финансовый 3 5 2 5 2 2" xfId="5010"/>
    <cellStyle name="Финансовый 3 5 2 5 2 2 2" xfId="10128"/>
    <cellStyle name="Финансовый 3 5 2 5 2 2 2 2" xfId="18696"/>
    <cellStyle name="Финансовый 3 5 2 5 2 2 3" xfId="18697"/>
    <cellStyle name="Финансовый 3 5 2 5 2 3" xfId="8072"/>
    <cellStyle name="Финансовый 3 5 2 5 2 3 2" xfId="18698"/>
    <cellStyle name="Финансовый 3 5 2 5 2 4" xfId="18699"/>
    <cellStyle name="Финансовый 3 5 2 5 3" xfId="3982"/>
    <cellStyle name="Финансовый 3 5 2 5 3 2" xfId="9100"/>
    <cellStyle name="Финансовый 3 5 2 5 3 2 2" xfId="18700"/>
    <cellStyle name="Финансовый 3 5 2 5 3 3" xfId="18701"/>
    <cellStyle name="Финансовый 3 5 2 5 4" xfId="7044"/>
    <cellStyle name="Финансовый 3 5 2 5 4 2" xfId="18702"/>
    <cellStyle name="Финансовый 3 5 2 5 5" xfId="18703"/>
    <cellStyle name="Финансовый 3 5 2 6" xfId="1537"/>
    <cellStyle name="Финансовый 3 5 2 6 2" xfId="2643"/>
    <cellStyle name="Финансовый 3 5 2 6 2 2" xfId="5181"/>
    <cellStyle name="Финансовый 3 5 2 6 2 2 2" xfId="10299"/>
    <cellStyle name="Финансовый 3 5 2 6 2 2 2 2" xfId="18704"/>
    <cellStyle name="Финансовый 3 5 2 6 2 2 3" xfId="18705"/>
    <cellStyle name="Финансовый 3 5 2 6 2 3" xfId="8243"/>
    <cellStyle name="Финансовый 3 5 2 6 2 3 2" xfId="18706"/>
    <cellStyle name="Финансовый 3 5 2 6 2 4" xfId="18707"/>
    <cellStyle name="Финансовый 3 5 2 6 3" xfId="4153"/>
    <cellStyle name="Финансовый 3 5 2 6 3 2" xfId="9271"/>
    <cellStyle name="Финансовый 3 5 2 6 3 2 2" xfId="18708"/>
    <cellStyle name="Финансовый 3 5 2 6 3 3" xfId="18709"/>
    <cellStyle name="Финансовый 3 5 2 6 4" xfId="7215"/>
    <cellStyle name="Финансовый 3 5 2 6 4 2" xfId="18710"/>
    <cellStyle name="Финансовый 3 5 2 6 5" xfId="18711"/>
    <cellStyle name="Финансовый 3 5 2 7" xfId="1708"/>
    <cellStyle name="Финансовый 3 5 2 7 2" xfId="2814"/>
    <cellStyle name="Финансовый 3 5 2 7 2 2" xfId="5352"/>
    <cellStyle name="Финансовый 3 5 2 7 2 2 2" xfId="10470"/>
    <cellStyle name="Финансовый 3 5 2 7 2 2 2 2" xfId="18712"/>
    <cellStyle name="Финансовый 3 5 2 7 2 2 3" xfId="18713"/>
    <cellStyle name="Финансовый 3 5 2 7 2 3" xfId="8414"/>
    <cellStyle name="Финансовый 3 5 2 7 2 3 2" xfId="18714"/>
    <cellStyle name="Финансовый 3 5 2 7 2 4" xfId="18715"/>
    <cellStyle name="Финансовый 3 5 2 7 3" xfId="4324"/>
    <cellStyle name="Финансовый 3 5 2 7 3 2" xfId="9442"/>
    <cellStyle name="Финансовый 3 5 2 7 3 2 2" xfId="18716"/>
    <cellStyle name="Финансовый 3 5 2 7 3 3" xfId="18717"/>
    <cellStyle name="Финансовый 3 5 2 7 4" xfId="7386"/>
    <cellStyle name="Финансовый 3 5 2 7 4 2" xfId="18718"/>
    <cellStyle name="Финансовый 3 5 2 7 5" xfId="18719"/>
    <cellStyle name="Финансовый 3 5 2 8" xfId="1774"/>
    <cellStyle name="Финансовый 3 5 2 9" xfId="3175"/>
    <cellStyle name="Финансовый 3 5 3" xfId="575"/>
    <cellStyle name="Финансовый 3 5 3 2" xfId="3176"/>
    <cellStyle name="Финансовый 3 5 3 3" xfId="2907"/>
    <cellStyle name="Финансовый 3 5 4" xfId="18720"/>
    <cellStyle name="Финансовый 3 6" xfId="576"/>
    <cellStyle name="Финансовый 3 6 2" xfId="577"/>
    <cellStyle name="Финансовый 3 6 2 2" xfId="836"/>
    <cellStyle name="Финансовый 3 6 2 2 2" xfId="1958"/>
    <cellStyle name="Финансовый 3 6 2 2 2 2" xfId="4496"/>
    <cellStyle name="Финансовый 3 6 2 2 2 2 2" xfId="9614"/>
    <cellStyle name="Финансовый 3 6 2 2 2 2 2 2" xfId="18721"/>
    <cellStyle name="Финансовый 3 6 2 2 2 2 3" xfId="18722"/>
    <cellStyle name="Финансовый 3 6 2 2 2 3" xfId="7558"/>
    <cellStyle name="Финансовый 3 6 2 2 2 3 2" xfId="18723"/>
    <cellStyle name="Финансовый 3 6 2 2 2 4" xfId="18724"/>
    <cellStyle name="Финансовый 3 6 2 2 3" xfId="3468"/>
    <cellStyle name="Финансовый 3 6 2 2 3 2" xfId="8586"/>
    <cellStyle name="Финансовый 3 6 2 2 3 2 2" xfId="18725"/>
    <cellStyle name="Финансовый 3 6 2 2 3 3" xfId="18726"/>
    <cellStyle name="Финансовый 3 6 2 2 4" xfId="6530"/>
    <cellStyle name="Финансовый 3 6 2 2 4 2" xfId="18727"/>
    <cellStyle name="Финансовый 3 6 2 2 5" xfId="18728"/>
    <cellStyle name="Финансовый 3 6 2 2 6" xfId="18729"/>
    <cellStyle name="Финансовый 3 6 2 3" xfId="1012"/>
    <cellStyle name="Финансовый 3 6 2 3 2" xfId="2131"/>
    <cellStyle name="Финансовый 3 6 2 3 2 2" xfId="4669"/>
    <cellStyle name="Финансовый 3 6 2 3 2 2 2" xfId="9787"/>
    <cellStyle name="Финансовый 3 6 2 3 2 2 2 2" xfId="18730"/>
    <cellStyle name="Финансовый 3 6 2 3 2 2 3" xfId="18731"/>
    <cellStyle name="Финансовый 3 6 2 3 2 3" xfId="7731"/>
    <cellStyle name="Финансовый 3 6 2 3 2 3 2" xfId="18732"/>
    <cellStyle name="Финансовый 3 6 2 3 2 4" xfId="18733"/>
    <cellStyle name="Финансовый 3 6 2 3 3" xfId="3641"/>
    <cellStyle name="Финансовый 3 6 2 3 3 2" xfId="8759"/>
    <cellStyle name="Финансовый 3 6 2 3 3 2 2" xfId="18734"/>
    <cellStyle name="Финансовый 3 6 2 3 3 3" xfId="18735"/>
    <cellStyle name="Финансовый 3 6 2 3 4" xfId="6703"/>
    <cellStyle name="Финансовый 3 6 2 3 4 2" xfId="18736"/>
    <cellStyle name="Финансовый 3 6 2 3 5" xfId="18737"/>
    <cellStyle name="Финансовый 3 6 2 4" xfId="1183"/>
    <cellStyle name="Финансовый 3 6 2 4 2" xfId="2302"/>
    <cellStyle name="Финансовый 3 6 2 4 2 2" xfId="4840"/>
    <cellStyle name="Финансовый 3 6 2 4 2 2 2" xfId="9958"/>
    <cellStyle name="Финансовый 3 6 2 4 2 2 2 2" xfId="18738"/>
    <cellStyle name="Финансовый 3 6 2 4 2 2 3" xfId="18739"/>
    <cellStyle name="Финансовый 3 6 2 4 2 3" xfId="7902"/>
    <cellStyle name="Финансовый 3 6 2 4 2 3 2" xfId="18740"/>
    <cellStyle name="Финансовый 3 6 2 4 2 4" xfId="18741"/>
    <cellStyle name="Финансовый 3 6 2 4 3" xfId="3812"/>
    <cellStyle name="Финансовый 3 6 2 4 3 2" xfId="8930"/>
    <cellStyle name="Финансовый 3 6 2 4 3 2 2" xfId="18742"/>
    <cellStyle name="Финансовый 3 6 2 4 3 3" xfId="18743"/>
    <cellStyle name="Финансовый 3 6 2 4 4" xfId="6874"/>
    <cellStyle name="Финансовый 3 6 2 4 4 2" xfId="18744"/>
    <cellStyle name="Финансовый 3 6 2 4 5" xfId="18745"/>
    <cellStyle name="Финансовый 3 6 2 5" xfId="1367"/>
    <cellStyle name="Финансовый 3 6 2 5 2" xfId="2473"/>
    <cellStyle name="Финансовый 3 6 2 5 2 2" xfId="5011"/>
    <cellStyle name="Финансовый 3 6 2 5 2 2 2" xfId="10129"/>
    <cellStyle name="Финансовый 3 6 2 5 2 2 2 2" xfId="18746"/>
    <cellStyle name="Финансовый 3 6 2 5 2 2 3" xfId="18747"/>
    <cellStyle name="Финансовый 3 6 2 5 2 3" xfId="8073"/>
    <cellStyle name="Финансовый 3 6 2 5 2 3 2" xfId="18748"/>
    <cellStyle name="Финансовый 3 6 2 5 2 4" xfId="18749"/>
    <cellStyle name="Финансовый 3 6 2 5 3" xfId="3983"/>
    <cellStyle name="Финансовый 3 6 2 5 3 2" xfId="9101"/>
    <cellStyle name="Финансовый 3 6 2 5 3 2 2" xfId="18750"/>
    <cellStyle name="Финансовый 3 6 2 5 3 3" xfId="18751"/>
    <cellStyle name="Финансовый 3 6 2 5 4" xfId="7045"/>
    <cellStyle name="Финансовый 3 6 2 5 4 2" xfId="18752"/>
    <cellStyle name="Финансовый 3 6 2 5 5" xfId="18753"/>
    <cellStyle name="Финансовый 3 6 2 6" xfId="1538"/>
    <cellStyle name="Финансовый 3 6 2 6 2" xfId="2644"/>
    <cellStyle name="Финансовый 3 6 2 6 2 2" xfId="5182"/>
    <cellStyle name="Финансовый 3 6 2 6 2 2 2" xfId="10300"/>
    <cellStyle name="Финансовый 3 6 2 6 2 2 2 2" xfId="18754"/>
    <cellStyle name="Финансовый 3 6 2 6 2 2 3" xfId="18755"/>
    <cellStyle name="Финансовый 3 6 2 6 2 3" xfId="8244"/>
    <cellStyle name="Финансовый 3 6 2 6 2 3 2" xfId="18756"/>
    <cellStyle name="Финансовый 3 6 2 6 2 4" xfId="18757"/>
    <cellStyle name="Финансовый 3 6 2 6 3" xfId="4154"/>
    <cellStyle name="Финансовый 3 6 2 6 3 2" xfId="9272"/>
    <cellStyle name="Финансовый 3 6 2 6 3 2 2" xfId="18758"/>
    <cellStyle name="Финансовый 3 6 2 6 3 3" xfId="18759"/>
    <cellStyle name="Финансовый 3 6 2 6 4" xfId="7216"/>
    <cellStyle name="Финансовый 3 6 2 6 4 2" xfId="18760"/>
    <cellStyle name="Финансовый 3 6 2 6 5" xfId="18761"/>
    <cellStyle name="Финансовый 3 6 2 7" xfId="1709"/>
    <cellStyle name="Финансовый 3 6 2 7 2" xfId="2815"/>
    <cellStyle name="Финансовый 3 6 2 7 2 2" xfId="5353"/>
    <cellStyle name="Финансовый 3 6 2 7 2 2 2" xfId="10471"/>
    <cellStyle name="Финансовый 3 6 2 7 2 2 2 2" xfId="18762"/>
    <cellStyle name="Финансовый 3 6 2 7 2 2 3" xfId="18763"/>
    <cellStyle name="Финансовый 3 6 2 7 2 3" xfId="8415"/>
    <cellStyle name="Финансовый 3 6 2 7 2 3 2" xfId="18764"/>
    <cellStyle name="Финансовый 3 6 2 7 2 4" xfId="18765"/>
    <cellStyle name="Финансовый 3 6 2 7 3" xfId="4325"/>
    <cellStyle name="Финансовый 3 6 2 7 3 2" xfId="9443"/>
    <cellStyle name="Финансовый 3 6 2 7 3 2 2" xfId="18766"/>
    <cellStyle name="Финансовый 3 6 2 7 3 3" xfId="18767"/>
    <cellStyle name="Финансовый 3 6 2 7 4" xfId="7387"/>
    <cellStyle name="Финансовый 3 6 2 7 4 2" xfId="18768"/>
    <cellStyle name="Финансовый 3 6 2 7 5" xfId="18769"/>
    <cellStyle name="Финансовый 3 6 2 8" xfId="1775"/>
    <cellStyle name="Финансовый 3 6 2 9" xfId="3177"/>
    <cellStyle name="Финансовый 3 6 3" xfId="578"/>
    <cellStyle name="Финансовый 3 6 3 2" xfId="3178"/>
    <cellStyle name="Финансовый 3 6 3 3" xfId="2908"/>
    <cellStyle name="Финансовый 3 6 4" xfId="18770"/>
    <cellStyle name="Финансовый 3 7" xfId="579"/>
    <cellStyle name="Финансовый 3 7 2" xfId="580"/>
    <cellStyle name="Финансовый 3 7 2 2" xfId="837"/>
    <cellStyle name="Финансовый 3 7 2 2 2" xfId="1959"/>
    <cellStyle name="Финансовый 3 7 2 2 2 2" xfId="4497"/>
    <cellStyle name="Финансовый 3 7 2 2 2 2 2" xfId="9615"/>
    <cellStyle name="Финансовый 3 7 2 2 2 2 2 2" xfId="18771"/>
    <cellStyle name="Финансовый 3 7 2 2 2 2 3" xfId="18772"/>
    <cellStyle name="Финансовый 3 7 2 2 2 3" xfId="7559"/>
    <cellStyle name="Финансовый 3 7 2 2 2 3 2" xfId="18773"/>
    <cellStyle name="Финансовый 3 7 2 2 2 4" xfId="18774"/>
    <cellStyle name="Финансовый 3 7 2 2 3" xfId="3469"/>
    <cellStyle name="Финансовый 3 7 2 2 3 2" xfId="8587"/>
    <cellStyle name="Финансовый 3 7 2 2 3 2 2" xfId="18775"/>
    <cellStyle name="Финансовый 3 7 2 2 3 3" xfId="18776"/>
    <cellStyle name="Финансовый 3 7 2 2 4" xfId="6531"/>
    <cellStyle name="Финансовый 3 7 2 2 4 2" xfId="18777"/>
    <cellStyle name="Финансовый 3 7 2 2 5" xfId="18778"/>
    <cellStyle name="Финансовый 3 7 2 2 6" xfId="18779"/>
    <cellStyle name="Финансовый 3 7 2 3" xfId="1013"/>
    <cellStyle name="Финансовый 3 7 2 3 2" xfId="2132"/>
    <cellStyle name="Финансовый 3 7 2 3 2 2" xfId="4670"/>
    <cellStyle name="Финансовый 3 7 2 3 2 2 2" xfId="9788"/>
    <cellStyle name="Финансовый 3 7 2 3 2 2 2 2" xfId="18780"/>
    <cellStyle name="Финансовый 3 7 2 3 2 2 3" xfId="18781"/>
    <cellStyle name="Финансовый 3 7 2 3 2 3" xfId="7732"/>
    <cellStyle name="Финансовый 3 7 2 3 2 3 2" xfId="18782"/>
    <cellStyle name="Финансовый 3 7 2 3 2 4" xfId="18783"/>
    <cellStyle name="Финансовый 3 7 2 3 3" xfId="3642"/>
    <cellStyle name="Финансовый 3 7 2 3 3 2" xfId="8760"/>
    <cellStyle name="Финансовый 3 7 2 3 3 2 2" xfId="18784"/>
    <cellStyle name="Финансовый 3 7 2 3 3 3" xfId="18785"/>
    <cellStyle name="Финансовый 3 7 2 3 4" xfId="6704"/>
    <cellStyle name="Финансовый 3 7 2 3 4 2" xfId="18786"/>
    <cellStyle name="Финансовый 3 7 2 3 5" xfId="18787"/>
    <cellStyle name="Финансовый 3 7 2 4" xfId="1184"/>
    <cellStyle name="Финансовый 3 7 2 4 2" xfId="2303"/>
    <cellStyle name="Финансовый 3 7 2 4 2 2" xfId="4841"/>
    <cellStyle name="Финансовый 3 7 2 4 2 2 2" xfId="9959"/>
    <cellStyle name="Финансовый 3 7 2 4 2 2 2 2" xfId="18788"/>
    <cellStyle name="Финансовый 3 7 2 4 2 2 3" xfId="18789"/>
    <cellStyle name="Финансовый 3 7 2 4 2 3" xfId="7903"/>
    <cellStyle name="Финансовый 3 7 2 4 2 3 2" xfId="18790"/>
    <cellStyle name="Финансовый 3 7 2 4 2 4" xfId="18791"/>
    <cellStyle name="Финансовый 3 7 2 4 3" xfId="3813"/>
    <cellStyle name="Финансовый 3 7 2 4 3 2" xfId="8931"/>
    <cellStyle name="Финансовый 3 7 2 4 3 2 2" xfId="18792"/>
    <cellStyle name="Финансовый 3 7 2 4 3 3" xfId="18793"/>
    <cellStyle name="Финансовый 3 7 2 4 4" xfId="6875"/>
    <cellStyle name="Финансовый 3 7 2 4 4 2" xfId="18794"/>
    <cellStyle name="Финансовый 3 7 2 4 5" xfId="18795"/>
    <cellStyle name="Финансовый 3 7 2 5" xfId="1368"/>
    <cellStyle name="Финансовый 3 7 2 5 2" xfId="2474"/>
    <cellStyle name="Финансовый 3 7 2 5 2 2" xfId="5012"/>
    <cellStyle name="Финансовый 3 7 2 5 2 2 2" xfId="10130"/>
    <cellStyle name="Финансовый 3 7 2 5 2 2 2 2" xfId="18796"/>
    <cellStyle name="Финансовый 3 7 2 5 2 2 3" xfId="18797"/>
    <cellStyle name="Финансовый 3 7 2 5 2 3" xfId="8074"/>
    <cellStyle name="Финансовый 3 7 2 5 2 3 2" xfId="18798"/>
    <cellStyle name="Финансовый 3 7 2 5 2 4" xfId="18799"/>
    <cellStyle name="Финансовый 3 7 2 5 3" xfId="3984"/>
    <cellStyle name="Финансовый 3 7 2 5 3 2" xfId="9102"/>
    <cellStyle name="Финансовый 3 7 2 5 3 2 2" xfId="18800"/>
    <cellStyle name="Финансовый 3 7 2 5 3 3" xfId="18801"/>
    <cellStyle name="Финансовый 3 7 2 5 4" xfId="7046"/>
    <cellStyle name="Финансовый 3 7 2 5 4 2" xfId="18802"/>
    <cellStyle name="Финансовый 3 7 2 5 5" xfId="18803"/>
    <cellStyle name="Финансовый 3 7 2 6" xfId="1539"/>
    <cellStyle name="Финансовый 3 7 2 6 2" xfId="2645"/>
    <cellStyle name="Финансовый 3 7 2 6 2 2" xfId="5183"/>
    <cellStyle name="Финансовый 3 7 2 6 2 2 2" xfId="10301"/>
    <cellStyle name="Финансовый 3 7 2 6 2 2 2 2" xfId="18804"/>
    <cellStyle name="Финансовый 3 7 2 6 2 2 3" xfId="18805"/>
    <cellStyle name="Финансовый 3 7 2 6 2 3" xfId="8245"/>
    <cellStyle name="Финансовый 3 7 2 6 2 3 2" xfId="18806"/>
    <cellStyle name="Финансовый 3 7 2 6 2 4" xfId="18807"/>
    <cellStyle name="Финансовый 3 7 2 6 3" xfId="4155"/>
    <cellStyle name="Финансовый 3 7 2 6 3 2" xfId="9273"/>
    <cellStyle name="Финансовый 3 7 2 6 3 2 2" xfId="18808"/>
    <cellStyle name="Финансовый 3 7 2 6 3 3" xfId="18809"/>
    <cellStyle name="Финансовый 3 7 2 6 4" xfId="7217"/>
    <cellStyle name="Финансовый 3 7 2 6 4 2" xfId="18810"/>
    <cellStyle name="Финансовый 3 7 2 6 5" xfId="18811"/>
    <cellStyle name="Финансовый 3 7 2 7" xfId="1710"/>
    <cellStyle name="Финансовый 3 7 2 7 2" xfId="2816"/>
    <cellStyle name="Финансовый 3 7 2 7 2 2" xfId="5354"/>
    <cellStyle name="Финансовый 3 7 2 7 2 2 2" xfId="10472"/>
    <cellStyle name="Финансовый 3 7 2 7 2 2 2 2" xfId="18812"/>
    <cellStyle name="Финансовый 3 7 2 7 2 2 3" xfId="18813"/>
    <cellStyle name="Финансовый 3 7 2 7 2 3" xfId="8416"/>
    <cellStyle name="Финансовый 3 7 2 7 2 3 2" xfId="18814"/>
    <cellStyle name="Финансовый 3 7 2 7 2 4" xfId="18815"/>
    <cellStyle name="Финансовый 3 7 2 7 3" xfId="4326"/>
    <cellStyle name="Финансовый 3 7 2 7 3 2" xfId="9444"/>
    <cellStyle name="Финансовый 3 7 2 7 3 2 2" xfId="18816"/>
    <cellStyle name="Финансовый 3 7 2 7 3 3" xfId="18817"/>
    <cellStyle name="Финансовый 3 7 2 7 4" xfId="7388"/>
    <cellStyle name="Финансовый 3 7 2 7 4 2" xfId="18818"/>
    <cellStyle name="Финансовый 3 7 2 7 5" xfId="18819"/>
    <cellStyle name="Финансовый 3 7 2 8" xfId="1776"/>
    <cellStyle name="Финансовый 3 7 2 9" xfId="3179"/>
    <cellStyle name="Финансовый 3 7 3" xfId="581"/>
    <cellStyle name="Финансовый 3 7 3 2" xfId="3180"/>
    <cellStyle name="Финансовый 3 7 3 3" xfId="2909"/>
    <cellStyle name="Финансовый 3 7 4" xfId="18820"/>
    <cellStyle name="Финансовый 3 8" xfId="582"/>
    <cellStyle name="Финансовый 3 8 2" xfId="838"/>
    <cellStyle name="Финансовый 3 8 2 2" xfId="1960"/>
    <cellStyle name="Финансовый 3 8 2 2 2" xfId="4498"/>
    <cellStyle name="Финансовый 3 8 2 2 2 2" xfId="9616"/>
    <cellStyle name="Финансовый 3 8 2 2 2 2 2" xfId="18821"/>
    <cellStyle name="Финансовый 3 8 2 2 2 3" xfId="18822"/>
    <cellStyle name="Финансовый 3 8 2 2 3" xfId="7560"/>
    <cellStyle name="Финансовый 3 8 2 2 3 2" xfId="18823"/>
    <cellStyle name="Финансовый 3 8 2 2 4" xfId="18824"/>
    <cellStyle name="Финансовый 3 8 2 3" xfId="3470"/>
    <cellStyle name="Финансовый 3 8 2 3 2" xfId="8588"/>
    <cellStyle name="Финансовый 3 8 2 3 2 2" xfId="18825"/>
    <cellStyle name="Финансовый 3 8 2 3 3" xfId="18826"/>
    <cellStyle name="Финансовый 3 8 2 4" xfId="6532"/>
    <cellStyle name="Финансовый 3 8 2 4 2" xfId="18827"/>
    <cellStyle name="Финансовый 3 8 2 5" xfId="18828"/>
    <cellStyle name="Финансовый 3 8 2 6" xfId="18829"/>
    <cellStyle name="Финансовый 3 8 3" xfId="1014"/>
    <cellStyle name="Финансовый 3 8 3 2" xfId="2133"/>
    <cellStyle name="Финансовый 3 8 3 2 2" xfId="4671"/>
    <cellStyle name="Финансовый 3 8 3 2 2 2" xfId="9789"/>
    <cellStyle name="Финансовый 3 8 3 2 2 2 2" xfId="18830"/>
    <cellStyle name="Финансовый 3 8 3 2 2 3" xfId="18831"/>
    <cellStyle name="Финансовый 3 8 3 2 3" xfId="7733"/>
    <cellStyle name="Финансовый 3 8 3 2 3 2" xfId="18832"/>
    <cellStyle name="Финансовый 3 8 3 2 4" xfId="18833"/>
    <cellStyle name="Финансовый 3 8 3 3" xfId="3643"/>
    <cellStyle name="Финансовый 3 8 3 3 2" xfId="8761"/>
    <cellStyle name="Финансовый 3 8 3 3 2 2" xfId="18834"/>
    <cellStyle name="Финансовый 3 8 3 3 3" xfId="18835"/>
    <cellStyle name="Финансовый 3 8 3 4" xfId="6705"/>
    <cellStyle name="Финансовый 3 8 3 4 2" xfId="18836"/>
    <cellStyle name="Финансовый 3 8 3 5" xfId="18837"/>
    <cellStyle name="Финансовый 3 8 4" xfId="1185"/>
    <cellStyle name="Финансовый 3 8 4 2" xfId="2304"/>
    <cellStyle name="Финансовый 3 8 4 2 2" xfId="4842"/>
    <cellStyle name="Финансовый 3 8 4 2 2 2" xfId="9960"/>
    <cellStyle name="Финансовый 3 8 4 2 2 2 2" xfId="18838"/>
    <cellStyle name="Финансовый 3 8 4 2 2 3" xfId="18839"/>
    <cellStyle name="Финансовый 3 8 4 2 3" xfId="7904"/>
    <cellStyle name="Финансовый 3 8 4 2 3 2" xfId="18840"/>
    <cellStyle name="Финансовый 3 8 4 2 4" xfId="18841"/>
    <cellStyle name="Финансовый 3 8 4 3" xfId="3814"/>
    <cellStyle name="Финансовый 3 8 4 3 2" xfId="8932"/>
    <cellStyle name="Финансовый 3 8 4 3 2 2" xfId="18842"/>
    <cellStyle name="Финансовый 3 8 4 3 3" xfId="18843"/>
    <cellStyle name="Финансовый 3 8 4 4" xfId="6876"/>
    <cellStyle name="Финансовый 3 8 4 4 2" xfId="18844"/>
    <cellStyle name="Финансовый 3 8 4 5" xfId="18845"/>
    <cellStyle name="Финансовый 3 8 5" xfId="1369"/>
    <cellStyle name="Финансовый 3 8 5 2" xfId="2475"/>
    <cellStyle name="Финансовый 3 8 5 2 2" xfId="5013"/>
    <cellStyle name="Финансовый 3 8 5 2 2 2" xfId="10131"/>
    <cellStyle name="Финансовый 3 8 5 2 2 2 2" xfId="18846"/>
    <cellStyle name="Финансовый 3 8 5 2 2 3" xfId="18847"/>
    <cellStyle name="Финансовый 3 8 5 2 3" xfId="8075"/>
    <cellStyle name="Финансовый 3 8 5 2 3 2" xfId="18848"/>
    <cellStyle name="Финансовый 3 8 5 2 4" xfId="18849"/>
    <cellStyle name="Финансовый 3 8 5 3" xfId="3985"/>
    <cellStyle name="Финансовый 3 8 5 3 2" xfId="9103"/>
    <cellStyle name="Финансовый 3 8 5 3 2 2" xfId="18850"/>
    <cellStyle name="Финансовый 3 8 5 3 3" xfId="18851"/>
    <cellStyle name="Финансовый 3 8 5 4" xfId="7047"/>
    <cellStyle name="Финансовый 3 8 5 4 2" xfId="18852"/>
    <cellStyle name="Финансовый 3 8 5 5" xfId="18853"/>
    <cellStyle name="Финансовый 3 8 6" xfId="1540"/>
    <cellStyle name="Финансовый 3 8 6 2" xfId="2646"/>
    <cellStyle name="Финансовый 3 8 6 2 2" xfId="5184"/>
    <cellStyle name="Финансовый 3 8 6 2 2 2" xfId="10302"/>
    <cellStyle name="Финансовый 3 8 6 2 2 2 2" xfId="18854"/>
    <cellStyle name="Финансовый 3 8 6 2 2 3" xfId="18855"/>
    <cellStyle name="Финансовый 3 8 6 2 3" xfId="8246"/>
    <cellStyle name="Финансовый 3 8 6 2 3 2" xfId="18856"/>
    <cellStyle name="Финансовый 3 8 6 2 4" xfId="18857"/>
    <cellStyle name="Финансовый 3 8 6 3" xfId="4156"/>
    <cellStyle name="Финансовый 3 8 6 3 2" xfId="9274"/>
    <cellStyle name="Финансовый 3 8 6 3 2 2" xfId="18858"/>
    <cellStyle name="Финансовый 3 8 6 3 3" xfId="18859"/>
    <cellStyle name="Финансовый 3 8 6 4" xfId="7218"/>
    <cellStyle name="Финансовый 3 8 6 4 2" xfId="18860"/>
    <cellStyle name="Финансовый 3 8 6 5" xfId="18861"/>
    <cellStyle name="Финансовый 3 8 7" xfId="1711"/>
    <cellStyle name="Финансовый 3 8 7 2" xfId="2817"/>
    <cellStyle name="Финансовый 3 8 7 2 2" xfId="5355"/>
    <cellStyle name="Финансовый 3 8 7 2 2 2" xfId="10473"/>
    <cellStyle name="Финансовый 3 8 7 2 2 2 2" xfId="18862"/>
    <cellStyle name="Финансовый 3 8 7 2 2 3" xfId="18863"/>
    <cellStyle name="Финансовый 3 8 7 2 3" xfId="8417"/>
    <cellStyle name="Финансовый 3 8 7 2 3 2" xfId="18864"/>
    <cellStyle name="Финансовый 3 8 7 2 4" xfId="18865"/>
    <cellStyle name="Финансовый 3 8 7 3" xfId="4327"/>
    <cellStyle name="Финансовый 3 8 7 3 2" xfId="9445"/>
    <cellStyle name="Финансовый 3 8 7 3 2 2" xfId="18866"/>
    <cellStyle name="Финансовый 3 8 7 3 3" xfId="18867"/>
    <cellStyle name="Финансовый 3 8 7 4" xfId="7389"/>
    <cellStyle name="Финансовый 3 8 7 4 2" xfId="18868"/>
    <cellStyle name="Финансовый 3 8 7 5" xfId="18869"/>
    <cellStyle name="Финансовый 3 8 8" xfId="1777"/>
    <cellStyle name="Финансовый 3 8 9" xfId="3181"/>
    <cellStyle name="Финансовый 3 9" xfId="583"/>
    <cellStyle name="Финансовый 3 9 2" xfId="3182"/>
    <cellStyle name="Финансовый 3 9 3" xfId="2891"/>
    <cellStyle name="Финансовый 4" xfId="2818"/>
    <cellStyle name="Финансовый 5" xfId="1712"/>
    <cellStyle name="Финансовый 5 2" xfId="3232"/>
    <cellStyle name="Финансовый 5 3" xfId="3231"/>
    <cellStyle name="Финансовый 6" xfId="3233"/>
    <cellStyle name="Финансовый 7" xfId="3228"/>
    <cellStyle name="Хороший 2" xfId="584"/>
    <cellStyle name="Хороший 2 2" xfId="585"/>
    <cellStyle name="Хороший 2 2 2" xfId="839"/>
    <cellStyle name="Хороший 2 2 3" xfId="3183"/>
    <cellStyle name="Хороший 2 3" xfId="586"/>
    <cellStyle name="Хороший 2 4" xfId="18870"/>
    <cellStyle name="Хороший 3" xfId="587"/>
    <cellStyle name="Хороший 3 2" xfId="840"/>
    <cellStyle name="Хороший 3 2 2" xfId="3215"/>
    <cellStyle name="Хороший 3 2 3" xfId="29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D44"/>
  <sheetViews>
    <sheetView zoomScale="85" zoomScaleNormal="85" workbookViewId="0">
      <selection activeCell="A22" sqref="A22:XFD23"/>
    </sheetView>
  </sheetViews>
  <sheetFormatPr defaultRowHeight="15"/>
  <cols>
    <col min="1" max="1" width="9.140625" style="50"/>
    <col min="2" max="30" width="9.140625" style="51"/>
  </cols>
  <sheetData>
    <row r="1" spans="1:29" ht="15.75">
      <c r="Y1" s="7" t="s">
        <v>22</v>
      </c>
    </row>
    <row r="2" spans="1:29" ht="15.75">
      <c r="Y2" s="7" t="s">
        <v>23</v>
      </c>
    </row>
    <row r="3" spans="1:29" ht="15.75">
      <c r="Y3" s="7" t="s">
        <v>24</v>
      </c>
    </row>
    <row r="4" spans="1:29" ht="15.75">
      <c r="A4" s="7"/>
    </row>
    <row r="5" spans="1:29">
      <c r="A5" s="607" t="s">
        <v>25</v>
      </c>
      <c r="B5" s="607"/>
      <c r="C5" s="607"/>
      <c r="D5" s="607"/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  <c r="Q5" s="607"/>
      <c r="R5" s="607"/>
      <c r="S5" s="607"/>
      <c r="T5" s="607"/>
      <c r="U5" s="607"/>
      <c r="V5" s="607"/>
      <c r="W5" s="607"/>
      <c r="X5" s="607"/>
      <c r="Y5" s="607"/>
      <c r="Z5" s="607"/>
      <c r="AA5" s="607"/>
      <c r="AB5" s="607"/>
      <c r="AC5" s="607"/>
    </row>
    <row r="6" spans="1:29">
      <c r="A6" s="607" t="s">
        <v>26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</row>
    <row r="7" spans="1:29">
      <c r="A7" s="607" t="s">
        <v>27</v>
      </c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</row>
    <row r="8" spans="1:29">
      <c r="A8" s="607" t="s">
        <v>28</v>
      </c>
      <c r="B8" s="607"/>
      <c r="C8" s="607"/>
      <c r="D8" s="607"/>
      <c r="E8" s="607"/>
      <c r="F8" s="607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</row>
    <row r="9" spans="1:29">
      <c r="A9" s="52"/>
    </row>
    <row r="10" spans="1:29">
      <c r="A10" s="607" t="s">
        <v>29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</row>
    <row r="11" spans="1:29">
      <c r="A11" s="607" t="s">
        <v>30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07"/>
      <c r="W11" s="607"/>
      <c r="X11" s="607"/>
      <c r="Y11" s="607"/>
      <c r="Z11" s="607"/>
      <c r="AA11" s="607"/>
      <c r="AB11" s="607"/>
      <c r="AC11" s="607"/>
    </row>
    <row r="12" spans="1:29">
      <c r="A12" s="607" t="s">
        <v>31</v>
      </c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7"/>
      <c r="T12" s="607"/>
      <c r="U12" s="607"/>
      <c r="V12" s="607"/>
      <c r="W12" s="607"/>
      <c r="X12" s="607"/>
      <c r="Y12" s="607"/>
      <c r="Z12" s="607"/>
      <c r="AA12" s="607"/>
      <c r="AB12" s="607"/>
      <c r="AC12" s="607"/>
    </row>
    <row r="13" spans="1:29">
      <c r="A13" s="607" t="s">
        <v>32</v>
      </c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</row>
    <row r="14" spans="1:29">
      <c r="A14" s="52"/>
    </row>
    <row r="15" spans="1:29">
      <c r="A15" s="607" t="s">
        <v>33</v>
      </c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</row>
    <row r="16" spans="1:29">
      <c r="A16" s="52"/>
    </row>
    <row r="17" spans="1:30">
      <c r="A17" s="607" t="s">
        <v>34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</row>
    <row r="18" spans="1:30">
      <c r="A18" s="607" t="s">
        <v>35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</row>
    <row r="19" spans="1:30">
      <c r="A19" s="607" t="s">
        <v>36</v>
      </c>
      <c r="B19" s="607"/>
      <c r="C19" s="607"/>
      <c r="D19" s="607"/>
      <c r="E19" s="607"/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</row>
    <row r="20" spans="1:30">
      <c r="A20" s="607" t="s">
        <v>37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</row>
    <row r="21" spans="1:30" ht="15.75">
      <c r="A21" s="7"/>
    </row>
    <row r="27" spans="1:30" ht="15.75" thickBot="1"/>
    <row r="28" spans="1:30" ht="15.75" thickBot="1">
      <c r="A28" s="620" t="s">
        <v>0</v>
      </c>
      <c r="B28" s="608" t="s">
        <v>1</v>
      </c>
      <c r="C28" s="608" t="s">
        <v>2</v>
      </c>
      <c r="D28" s="608" t="s">
        <v>3</v>
      </c>
      <c r="E28" s="608" t="s">
        <v>4</v>
      </c>
      <c r="F28" s="608" t="s">
        <v>5</v>
      </c>
      <c r="G28" s="608" t="s">
        <v>6</v>
      </c>
      <c r="H28" s="617" t="s">
        <v>7</v>
      </c>
      <c r="I28" s="618"/>
      <c r="J28" s="618"/>
      <c r="K28" s="618"/>
      <c r="L28" s="618"/>
      <c r="M28" s="618"/>
      <c r="N28" s="618"/>
      <c r="O28" s="618"/>
      <c r="P28" s="618"/>
      <c r="Q28" s="619"/>
      <c r="R28" s="608" t="s">
        <v>8</v>
      </c>
      <c r="S28" s="617" t="s">
        <v>9</v>
      </c>
      <c r="T28" s="618"/>
      <c r="U28" s="618"/>
      <c r="V28" s="618"/>
      <c r="W28" s="618"/>
      <c r="X28" s="618"/>
      <c r="Y28" s="618"/>
      <c r="Z28" s="618"/>
      <c r="AA28" s="618"/>
      <c r="AB28" s="619"/>
      <c r="AC28" s="608" t="s">
        <v>10</v>
      </c>
      <c r="AD28" s="53"/>
    </row>
    <row r="29" spans="1:30" ht="15.75" thickBot="1">
      <c r="A29" s="621"/>
      <c r="B29" s="616"/>
      <c r="C29" s="616"/>
      <c r="D29" s="616"/>
      <c r="E29" s="616"/>
      <c r="F29" s="616"/>
      <c r="G29" s="616"/>
      <c r="H29" s="617" t="s">
        <v>11</v>
      </c>
      <c r="I29" s="618"/>
      <c r="J29" s="618"/>
      <c r="K29" s="618"/>
      <c r="L29" s="619"/>
      <c r="M29" s="617" t="s">
        <v>12</v>
      </c>
      <c r="N29" s="618"/>
      <c r="O29" s="618"/>
      <c r="P29" s="618"/>
      <c r="Q29" s="619"/>
      <c r="R29" s="616"/>
      <c r="S29" s="612" t="s">
        <v>13</v>
      </c>
      <c r="T29" s="613"/>
      <c r="U29" s="612" t="s">
        <v>14</v>
      </c>
      <c r="V29" s="613"/>
      <c r="W29" s="612" t="s">
        <v>15</v>
      </c>
      <c r="X29" s="613"/>
      <c r="Y29" s="612" t="s">
        <v>16</v>
      </c>
      <c r="Z29" s="613"/>
      <c r="AA29" s="612" t="s">
        <v>17</v>
      </c>
      <c r="AB29" s="613"/>
      <c r="AC29" s="616"/>
      <c r="AD29" s="53"/>
    </row>
    <row r="30" spans="1:30" ht="15.75" thickBot="1">
      <c r="A30" s="621"/>
      <c r="B30" s="616"/>
      <c r="C30" s="616"/>
      <c r="D30" s="616"/>
      <c r="E30" s="616"/>
      <c r="F30" s="616"/>
      <c r="G30" s="616"/>
      <c r="H30" s="608" t="s">
        <v>13</v>
      </c>
      <c r="I30" s="608" t="s">
        <v>14</v>
      </c>
      <c r="J30" s="608" t="s">
        <v>15</v>
      </c>
      <c r="K30" s="608" t="s">
        <v>16</v>
      </c>
      <c r="L30" s="608" t="s">
        <v>17</v>
      </c>
      <c r="M30" s="608" t="s">
        <v>18</v>
      </c>
      <c r="N30" s="608" t="s">
        <v>14</v>
      </c>
      <c r="O30" s="608" t="s">
        <v>15</v>
      </c>
      <c r="P30" s="608" t="s">
        <v>16</v>
      </c>
      <c r="Q30" s="608" t="s">
        <v>17</v>
      </c>
      <c r="R30" s="616"/>
      <c r="S30" s="614"/>
      <c r="T30" s="615"/>
      <c r="U30" s="614"/>
      <c r="V30" s="615"/>
      <c r="W30" s="614"/>
      <c r="X30" s="615"/>
      <c r="Y30" s="614"/>
      <c r="Z30" s="615"/>
      <c r="AA30" s="614"/>
      <c r="AB30" s="615"/>
      <c r="AC30" s="616"/>
      <c r="AD30" s="53"/>
    </row>
    <row r="31" spans="1:30" ht="39" thickBot="1">
      <c r="A31" s="622"/>
      <c r="B31" s="609"/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5" t="s">
        <v>19</v>
      </c>
      <c r="T31" s="5" t="s">
        <v>20</v>
      </c>
      <c r="U31" s="5" t="s">
        <v>19</v>
      </c>
      <c r="V31" s="5" t="s">
        <v>20</v>
      </c>
      <c r="W31" s="5" t="s">
        <v>19</v>
      </c>
      <c r="X31" s="5" t="s">
        <v>20</v>
      </c>
      <c r="Y31" s="5" t="s">
        <v>19</v>
      </c>
      <c r="Z31" s="5" t="s">
        <v>20</v>
      </c>
      <c r="AA31" s="5" t="s">
        <v>19</v>
      </c>
      <c r="AB31" s="5" t="s">
        <v>20</v>
      </c>
      <c r="AC31" s="609"/>
      <c r="AD31" s="53"/>
    </row>
    <row r="32" spans="1:30" ht="15.75" thickBot="1">
      <c r="A32" s="10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  <c r="G32" s="5">
        <v>7</v>
      </c>
      <c r="H32" s="5">
        <v>8</v>
      </c>
      <c r="I32" s="5">
        <v>9</v>
      </c>
      <c r="J32" s="5">
        <v>10</v>
      </c>
      <c r="K32" s="5">
        <v>11</v>
      </c>
      <c r="L32" s="5">
        <v>12</v>
      </c>
      <c r="M32" s="5">
        <v>13</v>
      </c>
      <c r="N32" s="5">
        <v>14</v>
      </c>
      <c r="O32" s="5">
        <v>15</v>
      </c>
      <c r="P32" s="5">
        <v>16</v>
      </c>
      <c r="Q32" s="5">
        <v>17</v>
      </c>
      <c r="R32" s="5">
        <v>18</v>
      </c>
      <c r="S32" s="5">
        <v>19</v>
      </c>
      <c r="T32" s="5">
        <v>20</v>
      </c>
      <c r="U32" s="5">
        <v>21</v>
      </c>
      <c r="V32" s="5">
        <v>22</v>
      </c>
      <c r="W32" s="5">
        <v>23</v>
      </c>
      <c r="X32" s="5">
        <v>24</v>
      </c>
      <c r="Y32" s="5">
        <v>25</v>
      </c>
      <c r="Z32" s="5">
        <v>26</v>
      </c>
      <c r="AA32" s="5">
        <v>27</v>
      </c>
      <c r="AB32" s="5">
        <v>28</v>
      </c>
      <c r="AC32" s="5">
        <v>29</v>
      </c>
      <c r="AD32" s="53"/>
    </row>
    <row r="33" spans="1:30" ht="15.75" thickBot="1">
      <c r="A33" s="1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53"/>
    </row>
    <row r="34" spans="1:30" ht="15.75" thickBot="1">
      <c r="A34" s="11"/>
      <c r="B34" s="610" t="s">
        <v>21</v>
      </c>
      <c r="C34" s="6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53"/>
    </row>
    <row r="44" spans="1:30" ht="15.75">
      <c r="A44" s="7" t="s">
        <v>83</v>
      </c>
    </row>
  </sheetData>
  <mergeCells count="42">
    <mergeCell ref="F28:F31"/>
    <mergeCell ref="A28:A31"/>
    <mergeCell ref="B28:B31"/>
    <mergeCell ref="C28:C31"/>
    <mergeCell ref="D28:D31"/>
    <mergeCell ref="E28:E31"/>
    <mergeCell ref="G28:G31"/>
    <mergeCell ref="H28:Q28"/>
    <mergeCell ref="R28:R31"/>
    <mergeCell ref="S28:AB28"/>
    <mergeCell ref="AC28:AC31"/>
    <mergeCell ref="H29:L29"/>
    <mergeCell ref="M29:Q29"/>
    <mergeCell ref="S29:T30"/>
    <mergeCell ref="U29:V30"/>
    <mergeCell ref="W29:X30"/>
    <mergeCell ref="K30:K31"/>
    <mergeCell ref="L30:L31"/>
    <mergeCell ref="M30:M31"/>
    <mergeCell ref="N30:N31"/>
    <mergeCell ref="O30:O31"/>
    <mergeCell ref="A20:AC20"/>
    <mergeCell ref="P30:P31"/>
    <mergeCell ref="Q30:Q31"/>
    <mergeCell ref="B34:C34"/>
    <mergeCell ref="A5:AC5"/>
    <mergeCell ref="A6:AC6"/>
    <mergeCell ref="A7:AC7"/>
    <mergeCell ref="A8:AC8"/>
    <mergeCell ref="A10:AC10"/>
    <mergeCell ref="A11:AC11"/>
    <mergeCell ref="A12:AC12"/>
    <mergeCell ref="Y29:Z30"/>
    <mergeCell ref="AA29:AB30"/>
    <mergeCell ref="H30:H31"/>
    <mergeCell ref="I30:I31"/>
    <mergeCell ref="J30:J31"/>
    <mergeCell ref="A13:AC13"/>
    <mergeCell ref="A15:AC15"/>
    <mergeCell ref="A17:AC17"/>
    <mergeCell ref="A18:AC18"/>
    <mergeCell ref="A19:AC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filterMode="1">
    <pageSetUpPr fitToPage="1"/>
  </sheetPr>
  <dimension ref="A1:T93"/>
  <sheetViews>
    <sheetView tabSelected="1" zoomScale="70" zoomScaleNormal="70" workbookViewId="0">
      <selection activeCell="H23" sqref="H23"/>
    </sheetView>
  </sheetViews>
  <sheetFormatPr defaultRowHeight="15" outlineLevelCol="1"/>
  <cols>
    <col min="1" max="1" width="16.42578125" style="110" customWidth="1"/>
    <col min="2" max="2" width="43" style="576" customWidth="1"/>
    <col min="3" max="3" width="19.28515625" style="582" customWidth="1"/>
    <col min="4" max="4" width="24.42578125" style="582" customWidth="1"/>
    <col min="5" max="5" width="19.5703125" style="582" customWidth="1"/>
    <col min="6" max="6" width="21.7109375" style="582" customWidth="1"/>
    <col min="7" max="8" width="18.28515625" style="582" bestFit="1" customWidth="1"/>
    <col min="9" max="14" width="18.28515625" style="56" customWidth="1" outlineLevel="1"/>
    <col min="15" max="16" width="13.5703125" style="56" customWidth="1" outlineLevel="1"/>
    <col min="17" max="17" width="18.7109375" style="558" customWidth="1"/>
    <col min="18" max="19" width="16.42578125" style="582" customWidth="1"/>
    <col min="20" max="20" width="72" style="595" customWidth="1"/>
    <col min="21" max="16384" width="9.140625" style="120"/>
  </cols>
  <sheetData>
    <row r="1" spans="1:20" customFormat="1" ht="15.75">
      <c r="A1" s="110"/>
      <c r="B1" s="51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16" t="s">
        <v>480</v>
      </c>
      <c r="R1" s="56"/>
      <c r="S1" s="56"/>
      <c r="T1" s="276"/>
    </row>
    <row r="2" spans="1:20" customFormat="1" ht="15.75">
      <c r="A2" s="110"/>
      <c r="B2" s="5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16" t="s">
        <v>23</v>
      </c>
      <c r="R2" s="56"/>
      <c r="S2" s="56"/>
      <c r="T2" s="276"/>
    </row>
    <row r="3" spans="1:20" customFormat="1" ht="15.75">
      <c r="A3" s="110"/>
      <c r="B3" s="5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16" t="s">
        <v>24</v>
      </c>
      <c r="R3" s="56"/>
      <c r="S3" s="56"/>
      <c r="T3" s="276"/>
    </row>
    <row r="4" spans="1:20" customFormat="1">
      <c r="A4" s="110"/>
      <c r="B4" s="51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117"/>
      <c r="R4" s="56"/>
      <c r="S4" s="56"/>
      <c r="T4" s="276"/>
    </row>
    <row r="5" spans="1:20" customFormat="1">
      <c r="A5" s="110"/>
      <c r="B5" s="5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17"/>
      <c r="R5" s="56"/>
      <c r="S5" s="56"/>
      <c r="T5" s="276"/>
    </row>
    <row r="6" spans="1:20" customFormat="1" ht="15.75">
      <c r="A6" s="691" t="s">
        <v>481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</row>
    <row r="7" spans="1:20" customFormat="1" ht="15.75">
      <c r="A7" s="691" t="s">
        <v>482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</row>
    <row r="8" spans="1:20" customFormat="1" ht="15.75">
      <c r="A8" s="691" t="s">
        <v>1188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</row>
    <row r="9" spans="1:20" customFormat="1">
      <c r="A9" s="108"/>
      <c r="B9" s="5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7"/>
      <c r="R9" s="56"/>
      <c r="S9" s="56"/>
      <c r="T9" s="276"/>
    </row>
    <row r="10" spans="1:20" customFormat="1" ht="15.75">
      <c r="A10" s="694" t="s">
        <v>727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</row>
    <row r="11" spans="1:20" customFormat="1">
      <c r="A11" s="108"/>
      <c r="B11" s="51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17"/>
      <c r="R11" s="56"/>
      <c r="S11" s="56"/>
      <c r="T11" s="276"/>
    </row>
    <row r="12" spans="1:20" customFormat="1" ht="15.75">
      <c r="A12" s="693" t="s">
        <v>725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</row>
    <row r="13" spans="1:20" customFormat="1">
      <c r="A13" s="108"/>
      <c r="B13" s="51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117"/>
      <c r="R13" s="56"/>
      <c r="S13" s="56"/>
      <c r="T13" s="276"/>
    </row>
    <row r="14" spans="1:20" customFormat="1" ht="15.75">
      <c r="A14" s="693" t="s">
        <v>34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</row>
    <row r="15" spans="1:20" customFormat="1" ht="15.75">
      <c r="A15" s="692" t="s">
        <v>1190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</row>
    <row r="16" spans="1:20" customFormat="1">
      <c r="A16" s="607"/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56"/>
      <c r="O16" s="56"/>
      <c r="P16" s="56"/>
      <c r="Q16" s="117"/>
      <c r="R16" s="56"/>
      <c r="S16" s="56"/>
      <c r="T16" s="276"/>
    </row>
    <row r="17" spans="1:20" customFormat="1">
      <c r="A17" s="110"/>
      <c r="B17" s="51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117"/>
      <c r="R17" s="56"/>
      <c r="S17" s="56"/>
      <c r="T17" s="276"/>
    </row>
    <row r="18" spans="1:20" ht="62.25" customHeight="1">
      <c r="A18" s="688" t="s">
        <v>0</v>
      </c>
      <c r="B18" s="688" t="s">
        <v>1</v>
      </c>
      <c r="C18" s="688" t="s">
        <v>2</v>
      </c>
      <c r="D18" s="688" t="s">
        <v>3</v>
      </c>
      <c r="E18" s="688" t="s">
        <v>728</v>
      </c>
      <c r="F18" s="688" t="s">
        <v>729</v>
      </c>
      <c r="G18" s="688" t="s">
        <v>730</v>
      </c>
      <c r="H18" s="688"/>
      <c r="I18" s="689"/>
      <c r="J18" s="689"/>
      <c r="K18" s="689"/>
      <c r="L18" s="689"/>
      <c r="M18" s="689"/>
      <c r="N18" s="689"/>
      <c r="O18" s="689"/>
      <c r="P18" s="689"/>
      <c r="Q18" s="688" t="s">
        <v>483</v>
      </c>
      <c r="R18" s="690" t="s">
        <v>484</v>
      </c>
      <c r="S18" s="690"/>
      <c r="T18" s="690" t="s">
        <v>10</v>
      </c>
    </row>
    <row r="19" spans="1:20" ht="54.75" customHeight="1">
      <c r="A19" s="688"/>
      <c r="B19" s="688"/>
      <c r="C19" s="688"/>
      <c r="D19" s="688"/>
      <c r="E19" s="688"/>
      <c r="F19" s="688"/>
      <c r="G19" s="688" t="s">
        <v>485</v>
      </c>
      <c r="H19" s="688"/>
      <c r="I19" s="689" t="s">
        <v>486</v>
      </c>
      <c r="J19" s="689"/>
      <c r="K19" s="689" t="s">
        <v>487</v>
      </c>
      <c r="L19" s="689"/>
      <c r="M19" s="689" t="s">
        <v>488</v>
      </c>
      <c r="N19" s="689"/>
      <c r="O19" s="689" t="s">
        <v>489</v>
      </c>
      <c r="P19" s="689"/>
      <c r="Q19" s="688"/>
      <c r="R19" s="690" t="s">
        <v>19</v>
      </c>
      <c r="S19" s="690" t="s">
        <v>20</v>
      </c>
      <c r="T19" s="690"/>
    </row>
    <row r="20" spans="1:20" ht="69" customHeight="1">
      <c r="A20" s="688"/>
      <c r="B20" s="688"/>
      <c r="C20" s="688"/>
      <c r="D20" s="688"/>
      <c r="E20" s="688"/>
      <c r="F20" s="688"/>
      <c r="G20" s="554" t="s">
        <v>11</v>
      </c>
      <c r="H20" s="554" t="s">
        <v>12</v>
      </c>
      <c r="I20" s="161" t="s">
        <v>11</v>
      </c>
      <c r="J20" s="161" t="s">
        <v>12</v>
      </c>
      <c r="K20" s="161" t="s">
        <v>11</v>
      </c>
      <c r="L20" s="161" t="s">
        <v>12</v>
      </c>
      <c r="M20" s="161" t="s">
        <v>11</v>
      </c>
      <c r="N20" s="161" t="s">
        <v>12</v>
      </c>
      <c r="O20" s="161" t="s">
        <v>11</v>
      </c>
      <c r="P20" s="161" t="s">
        <v>12</v>
      </c>
      <c r="Q20" s="688"/>
      <c r="R20" s="690"/>
      <c r="S20" s="690"/>
      <c r="T20" s="690"/>
    </row>
    <row r="21" spans="1:20" ht="15.75">
      <c r="A21" s="169">
        <v>1</v>
      </c>
      <c r="B21" s="169">
        <v>2</v>
      </c>
      <c r="C21" s="169">
        <v>3</v>
      </c>
      <c r="D21" s="169">
        <v>4</v>
      </c>
      <c r="E21" s="169">
        <v>5</v>
      </c>
      <c r="F21" s="169">
        <v>6</v>
      </c>
      <c r="G21" s="169">
        <v>7</v>
      </c>
      <c r="H21" s="169">
        <v>8</v>
      </c>
      <c r="I21" s="170">
        <v>9</v>
      </c>
      <c r="J21" s="170">
        <v>10</v>
      </c>
      <c r="K21" s="170">
        <v>11</v>
      </c>
      <c r="L21" s="170">
        <v>12</v>
      </c>
      <c r="M21" s="170">
        <v>13</v>
      </c>
      <c r="N21" s="170">
        <v>14</v>
      </c>
      <c r="O21" s="170">
        <v>15</v>
      </c>
      <c r="P21" s="170">
        <v>16</v>
      </c>
      <c r="Q21" s="169">
        <v>17</v>
      </c>
      <c r="R21" s="550">
        <v>18</v>
      </c>
      <c r="S21" s="550">
        <v>19</v>
      </c>
      <c r="T21" s="168">
        <v>20</v>
      </c>
    </row>
    <row r="22" spans="1:20" ht="31.5">
      <c r="A22" s="135">
        <v>0</v>
      </c>
      <c r="B22" s="506" t="s">
        <v>21</v>
      </c>
      <c r="C22" s="567" t="s">
        <v>876</v>
      </c>
      <c r="D22" s="520">
        <f>SUM(D23:D28)</f>
        <v>44.607398995601798</v>
      </c>
      <c r="E22" s="520">
        <f t="shared" ref="E22:F22" si="0">SUM(E23:E28)</f>
        <v>14.088660727000001</v>
      </c>
      <c r="F22" s="520">
        <f t="shared" si="0"/>
        <v>30.518731277201798</v>
      </c>
      <c r="G22" s="519">
        <f>G23+G24+G25+G26+G27+G28</f>
        <v>27.223721273001797</v>
      </c>
      <c r="H22" s="519">
        <f>H23+H24+H25+H26+H27+H28</f>
        <v>19.704213827400004</v>
      </c>
      <c r="I22" s="182">
        <f t="shared" ref="I22:P22" si="1">I23+I24+I25+I26+I27+I28</f>
        <v>0</v>
      </c>
      <c r="J22" s="182">
        <f t="shared" si="1"/>
        <v>5.0430417300000006</v>
      </c>
      <c r="K22" s="182">
        <f t="shared" si="1"/>
        <v>0</v>
      </c>
      <c r="L22" s="182">
        <f t="shared" si="1"/>
        <v>2.0233457600000002</v>
      </c>
      <c r="M22" s="182">
        <f>M23+M24+M25+M26+M27+M28</f>
        <v>0</v>
      </c>
      <c r="N22" s="182">
        <f>N23+N24+N25+N26+N27+N28</f>
        <v>0.57128311440000012</v>
      </c>
      <c r="O22" s="182">
        <f t="shared" si="1"/>
        <v>3.0693599999999996</v>
      </c>
      <c r="P22" s="182">
        <f t="shared" si="1"/>
        <v>3.1320633500000001</v>
      </c>
      <c r="Q22" s="519">
        <f>Q23+Q24+Q25+Q26+Q27+Q28</f>
        <v>7.5195054498017964</v>
      </c>
      <c r="R22" s="579">
        <f>R23+R24+R25+R26+R27+R28</f>
        <v>7.5195074456017963</v>
      </c>
      <c r="S22" s="568">
        <f>H22/G22*100</f>
        <v>72.378840606706447</v>
      </c>
      <c r="T22" s="168"/>
    </row>
    <row r="23" spans="1:20" ht="15.75">
      <c r="A23" s="135" t="s">
        <v>877</v>
      </c>
      <c r="B23" s="506" t="s">
        <v>878</v>
      </c>
      <c r="C23" s="567" t="s">
        <v>876</v>
      </c>
      <c r="D23" s="520">
        <f>D29</f>
        <v>4.7309032000000002</v>
      </c>
      <c r="E23" s="520">
        <f t="shared" ref="E23:F23" si="2">E29</f>
        <v>0</v>
      </c>
      <c r="F23" s="520">
        <f t="shared" si="2"/>
        <v>4.7309032000000002</v>
      </c>
      <c r="G23" s="519">
        <f>G29</f>
        <v>4.7309032000000002</v>
      </c>
      <c r="H23" s="519">
        <f t="shared" ref="H23:P23" si="3">H29</f>
        <v>3.3264508444000001</v>
      </c>
      <c r="I23" s="182">
        <f t="shared" si="3"/>
        <v>0</v>
      </c>
      <c r="J23" s="182">
        <f t="shared" si="3"/>
        <v>0.32643622999999999</v>
      </c>
      <c r="K23" s="182">
        <f t="shared" si="3"/>
        <v>0</v>
      </c>
      <c r="L23" s="182">
        <f t="shared" si="3"/>
        <v>0.81521305999999993</v>
      </c>
      <c r="M23" s="182">
        <f t="shared" si="3"/>
        <v>0</v>
      </c>
      <c r="N23" s="182">
        <f t="shared" si="3"/>
        <v>0.57128311440000012</v>
      </c>
      <c r="O23" s="182">
        <f t="shared" si="3"/>
        <v>0</v>
      </c>
      <c r="P23" s="182">
        <f t="shared" si="3"/>
        <v>1.61351844</v>
      </c>
      <c r="Q23" s="519">
        <f>Q29</f>
        <v>1.4044523555999999</v>
      </c>
      <c r="R23" s="579">
        <f>G23-H23</f>
        <v>1.4044523556000001</v>
      </c>
      <c r="S23" s="568">
        <f t="shared" ref="S23:S73" si="4">H23/G23*100</f>
        <v>70.313229921931182</v>
      </c>
      <c r="T23" s="168"/>
    </row>
    <row r="24" spans="1:20" ht="47.25">
      <c r="A24" s="135" t="s">
        <v>879</v>
      </c>
      <c r="B24" s="506" t="s">
        <v>880</v>
      </c>
      <c r="C24" s="567" t="s">
        <v>876</v>
      </c>
      <c r="D24" s="520">
        <f>D54</f>
        <v>13.727249195601797</v>
      </c>
      <c r="E24" s="520">
        <f>E54</f>
        <v>1.9608435999999998</v>
      </c>
      <c r="F24" s="520">
        <f t="shared" ref="F24" si="5">F54</f>
        <v>11.766398604201797</v>
      </c>
      <c r="G24" s="519">
        <f>G54</f>
        <v>11.766400600001797</v>
      </c>
      <c r="H24" s="519">
        <f t="shared" ref="H24:P24" si="6">H54</f>
        <v>5.6513455100000005</v>
      </c>
      <c r="I24" s="182">
        <f t="shared" si="6"/>
        <v>0</v>
      </c>
      <c r="J24" s="182">
        <f t="shared" si="6"/>
        <v>2.9246679000000002</v>
      </c>
      <c r="K24" s="182">
        <f t="shared" si="6"/>
        <v>0</v>
      </c>
      <c r="L24" s="182">
        <f t="shared" si="6"/>
        <v>1.2081327000000002</v>
      </c>
      <c r="M24" s="182">
        <f t="shared" si="6"/>
        <v>0</v>
      </c>
      <c r="N24" s="182">
        <f>N54</f>
        <v>0</v>
      </c>
      <c r="O24" s="182">
        <f t="shared" si="6"/>
        <v>3.0693599999999996</v>
      </c>
      <c r="P24" s="182">
        <f t="shared" si="6"/>
        <v>1.5185449100000001</v>
      </c>
      <c r="Q24" s="519">
        <f>Q54</f>
        <v>6.1150530942017962</v>
      </c>
      <c r="R24" s="579">
        <f t="shared" ref="R24:R73" si="7">G24-H24</f>
        <v>6.1150550900017961</v>
      </c>
      <c r="S24" s="568">
        <f t="shared" si="4"/>
        <v>48.029518134875822</v>
      </c>
      <c r="T24" s="168"/>
    </row>
    <row r="25" spans="1:20" ht="110.25">
      <c r="A25" s="135" t="s">
        <v>881</v>
      </c>
      <c r="B25" s="506" t="s">
        <v>882</v>
      </c>
      <c r="C25" s="567" t="s">
        <v>876</v>
      </c>
      <c r="D25" s="520">
        <v>0</v>
      </c>
      <c r="E25" s="519">
        <f t="shared" ref="E25" si="8">E79</f>
        <v>0</v>
      </c>
      <c r="F25" s="520">
        <v>0</v>
      </c>
      <c r="G25" s="519">
        <f t="shared" ref="G25:P25" si="9">G79</f>
        <v>0</v>
      </c>
      <c r="H25" s="519">
        <f>H79</f>
        <v>0</v>
      </c>
      <c r="I25" s="182">
        <f t="shared" si="9"/>
        <v>0</v>
      </c>
      <c r="J25" s="182">
        <f t="shared" si="9"/>
        <v>0</v>
      </c>
      <c r="K25" s="182">
        <f t="shared" si="9"/>
        <v>0</v>
      </c>
      <c r="L25" s="182">
        <f t="shared" si="9"/>
        <v>0</v>
      </c>
      <c r="M25" s="182">
        <f t="shared" si="9"/>
        <v>0</v>
      </c>
      <c r="N25" s="182">
        <f t="shared" si="9"/>
        <v>0</v>
      </c>
      <c r="O25" s="182">
        <f t="shared" si="9"/>
        <v>0</v>
      </c>
      <c r="P25" s="182">
        <f t="shared" si="9"/>
        <v>0</v>
      </c>
      <c r="Q25" s="519">
        <f>Q79</f>
        <v>0</v>
      </c>
      <c r="R25" s="579">
        <f t="shared" si="7"/>
        <v>0</v>
      </c>
      <c r="S25" s="573" t="e">
        <f>H25/G25*100</f>
        <v>#DIV/0!</v>
      </c>
      <c r="T25" s="168"/>
    </row>
    <row r="26" spans="1:20" ht="31.5">
      <c r="A26" s="146" t="s">
        <v>883</v>
      </c>
      <c r="B26" s="507" t="s">
        <v>884</v>
      </c>
      <c r="C26" s="567" t="s">
        <v>876</v>
      </c>
      <c r="D26" s="520">
        <f>D82</f>
        <v>2.2919375999999998</v>
      </c>
      <c r="E26" s="520">
        <f t="shared" ref="E26:F26" si="10">E82</f>
        <v>0.5</v>
      </c>
      <c r="F26" s="520">
        <f t="shared" si="10"/>
        <v>1.7919376</v>
      </c>
      <c r="G26" s="519">
        <f>G82</f>
        <v>1.7919376000000002</v>
      </c>
      <c r="H26" s="519">
        <f>H82</f>
        <v>1.7919376000000002</v>
      </c>
      <c r="I26" s="182">
        <f t="shared" ref="I26:P26" si="11">I82</f>
        <v>0</v>
      </c>
      <c r="J26" s="182">
        <f t="shared" si="11"/>
        <v>1.7919376000000002</v>
      </c>
      <c r="K26" s="182">
        <f t="shared" si="11"/>
        <v>0</v>
      </c>
      <c r="L26" s="182">
        <f t="shared" si="11"/>
        <v>0</v>
      </c>
      <c r="M26" s="182">
        <f t="shared" si="11"/>
        <v>0</v>
      </c>
      <c r="N26" s="182">
        <f t="shared" si="11"/>
        <v>0</v>
      </c>
      <c r="O26" s="182">
        <f t="shared" si="11"/>
        <v>0</v>
      </c>
      <c r="P26" s="182">
        <f t="shared" si="11"/>
        <v>0</v>
      </c>
      <c r="Q26" s="519">
        <f>Q82</f>
        <v>0</v>
      </c>
      <c r="R26" s="579">
        <f t="shared" si="7"/>
        <v>0</v>
      </c>
      <c r="S26" s="573">
        <f t="shared" si="4"/>
        <v>100</v>
      </c>
      <c r="T26" s="168"/>
    </row>
    <row r="27" spans="1:20" ht="47.25">
      <c r="A27" s="146" t="s">
        <v>885</v>
      </c>
      <c r="B27" s="507" t="s">
        <v>886</v>
      </c>
      <c r="C27" s="567" t="s">
        <v>876</v>
      </c>
      <c r="D27" s="520">
        <v>0</v>
      </c>
      <c r="E27" s="519">
        <f t="shared" ref="E27:F28" si="12">E85</f>
        <v>0</v>
      </c>
      <c r="F27" s="520">
        <v>0</v>
      </c>
      <c r="G27" s="519">
        <f t="shared" ref="G27:P27" si="13">G85</f>
        <v>0</v>
      </c>
      <c r="H27" s="519">
        <f t="shared" si="13"/>
        <v>0</v>
      </c>
      <c r="I27" s="182">
        <f t="shared" si="13"/>
        <v>0</v>
      </c>
      <c r="J27" s="182">
        <f t="shared" si="13"/>
        <v>0</v>
      </c>
      <c r="K27" s="182">
        <f t="shared" si="13"/>
        <v>0</v>
      </c>
      <c r="L27" s="182">
        <f t="shared" si="13"/>
        <v>0</v>
      </c>
      <c r="M27" s="182">
        <f t="shared" si="13"/>
        <v>0</v>
      </c>
      <c r="N27" s="182">
        <f t="shared" si="13"/>
        <v>0</v>
      </c>
      <c r="O27" s="182">
        <f t="shared" si="13"/>
        <v>0</v>
      </c>
      <c r="P27" s="182">
        <f t="shared" si="13"/>
        <v>0</v>
      </c>
      <c r="Q27" s="519">
        <f>Q85</f>
        <v>0</v>
      </c>
      <c r="R27" s="579">
        <f t="shared" si="7"/>
        <v>0</v>
      </c>
      <c r="S27" s="573" t="e">
        <f t="shared" si="4"/>
        <v>#DIV/0!</v>
      </c>
      <c r="T27" s="168"/>
    </row>
    <row r="28" spans="1:20" ht="31.5">
      <c r="A28" s="146" t="s">
        <v>887</v>
      </c>
      <c r="B28" s="507" t="s">
        <v>888</v>
      </c>
      <c r="C28" s="567" t="s">
        <v>876</v>
      </c>
      <c r="D28" s="520">
        <f>D86</f>
        <v>23.857309000000001</v>
      </c>
      <c r="E28" s="520">
        <f t="shared" si="12"/>
        <v>11.627817127</v>
      </c>
      <c r="F28" s="520">
        <f t="shared" si="12"/>
        <v>12.229491873000001</v>
      </c>
      <c r="G28" s="519">
        <f>G86</f>
        <v>8.9344798730000008</v>
      </c>
      <c r="H28" s="519">
        <f>H86</f>
        <v>8.9344798730000008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519">
        <v>0</v>
      </c>
      <c r="R28" s="579">
        <f t="shared" si="7"/>
        <v>0</v>
      </c>
      <c r="S28" s="573">
        <f t="shared" si="4"/>
        <v>100</v>
      </c>
      <c r="T28" s="168"/>
    </row>
    <row r="29" spans="1:20" ht="47.25">
      <c r="A29" s="118" t="s">
        <v>743</v>
      </c>
      <c r="B29" s="507" t="s">
        <v>889</v>
      </c>
      <c r="C29" s="538" t="s">
        <v>876</v>
      </c>
      <c r="D29" s="520">
        <f t="shared" ref="D29:P29" si="14">D30+D47</f>
        <v>4.7309032000000002</v>
      </c>
      <c r="E29" s="519">
        <f t="shared" si="14"/>
        <v>0</v>
      </c>
      <c r="F29" s="519">
        <f t="shared" si="14"/>
        <v>4.7309032000000002</v>
      </c>
      <c r="G29" s="519">
        <f t="shared" si="14"/>
        <v>4.7309032000000002</v>
      </c>
      <c r="H29" s="519">
        <f>H30+H47</f>
        <v>3.3264508444000001</v>
      </c>
      <c r="I29" s="184">
        <f t="shared" si="14"/>
        <v>0</v>
      </c>
      <c r="J29" s="184">
        <f t="shared" si="14"/>
        <v>0.32643622999999999</v>
      </c>
      <c r="K29" s="184">
        <f t="shared" si="14"/>
        <v>0</v>
      </c>
      <c r="L29" s="184">
        <f t="shared" si="14"/>
        <v>0.81521305999999993</v>
      </c>
      <c r="M29" s="184">
        <f t="shared" si="14"/>
        <v>0</v>
      </c>
      <c r="N29" s="184">
        <f t="shared" si="14"/>
        <v>0.57128311440000012</v>
      </c>
      <c r="O29" s="184">
        <f t="shared" si="14"/>
        <v>0</v>
      </c>
      <c r="P29" s="184">
        <f t="shared" si="14"/>
        <v>1.61351844</v>
      </c>
      <c r="Q29" s="519">
        <f>Q30+Q47</f>
        <v>1.4044523555999999</v>
      </c>
      <c r="R29" s="579">
        <f t="shared" si="7"/>
        <v>1.4044523556000001</v>
      </c>
      <c r="S29" s="568">
        <f t="shared" si="4"/>
        <v>70.313229921931182</v>
      </c>
      <c r="T29" s="168"/>
    </row>
    <row r="30" spans="1:20" ht="78.75">
      <c r="A30" s="146" t="s">
        <v>387</v>
      </c>
      <c r="B30" s="507" t="s">
        <v>890</v>
      </c>
      <c r="C30" s="538" t="s">
        <v>876</v>
      </c>
      <c r="D30" s="195">
        <f>D31</f>
        <v>4.7309032000000002</v>
      </c>
      <c r="E30" s="519">
        <f t="shared" ref="E30" si="15">E31</f>
        <v>0</v>
      </c>
      <c r="F30" s="195">
        <f>F31</f>
        <v>4.7309032000000002</v>
      </c>
      <c r="G30" s="519">
        <f>G31</f>
        <v>4.7309032000000002</v>
      </c>
      <c r="H30" s="519">
        <f t="shared" ref="H30:P30" si="16">H31</f>
        <v>2.2723559320000004</v>
      </c>
      <c r="I30" s="184">
        <f t="shared" si="16"/>
        <v>0</v>
      </c>
      <c r="J30" s="184">
        <f t="shared" si="16"/>
        <v>0.12250023</v>
      </c>
      <c r="K30" s="184">
        <f t="shared" si="16"/>
        <v>0</v>
      </c>
      <c r="L30" s="184">
        <f t="shared" si="16"/>
        <v>0.77646988999999988</v>
      </c>
      <c r="M30" s="184">
        <f t="shared" si="16"/>
        <v>0</v>
      </c>
      <c r="N30" s="184">
        <f t="shared" si="16"/>
        <v>0.42656010200000005</v>
      </c>
      <c r="O30" s="184">
        <f t="shared" si="16"/>
        <v>0</v>
      </c>
      <c r="P30" s="184">
        <f t="shared" si="16"/>
        <v>0.94682571000000015</v>
      </c>
      <c r="Q30" s="519">
        <f>Q31</f>
        <v>2.4585472679999998</v>
      </c>
      <c r="R30" s="579">
        <f t="shared" si="7"/>
        <v>2.4585472679999998</v>
      </c>
      <c r="S30" s="568">
        <f t="shared" si="4"/>
        <v>48.032179817164725</v>
      </c>
      <c r="T30" s="168"/>
    </row>
    <row r="31" spans="1:20" s="560" customFormat="1" ht="141.75">
      <c r="A31" s="123" t="s">
        <v>389</v>
      </c>
      <c r="B31" s="513" t="s">
        <v>891</v>
      </c>
      <c r="C31" s="589" t="s">
        <v>892</v>
      </c>
      <c r="D31" s="186">
        <f>4.00924*1.18</f>
        <v>4.7309032000000002</v>
      </c>
      <c r="E31" s="186">
        <v>0</v>
      </c>
      <c r="F31" s="192">
        <f>G31</f>
        <v>4.7309032000000002</v>
      </c>
      <c r="G31" s="186">
        <f>4.00924*1.18</f>
        <v>4.7309032000000002</v>
      </c>
      <c r="H31" s="186">
        <f>SUM(H32:H46)</f>
        <v>2.2723559320000004</v>
      </c>
      <c r="I31" s="184">
        <f t="shared" ref="I31:N31" si="17">SUM(I32:I46)</f>
        <v>0</v>
      </c>
      <c r="J31" s="184">
        <f t="shared" si="17"/>
        <v>0.12250023</v>
      </c>
      <c r="K31" s="184">
        <f t="shared" si="17"/>
        <v>0</v>
      </c>
      <c r="L31" s="184">
        <f t="shared" si="17"/>
        <v>0.77646988999999988</v>
      </c>
      <c r="M31" s="184">
        <f t="shared" si="17"/>
        <v>0</v>
      </c>
      <c r="N31" s="184">
        <f t="shared" si="17"/>
        <v>0.42656010200000005</v>
      </c>
      <c r="O31" s="184">
        <v>0</v>
      </c>
      <c r="P31" s="184">
        <f>SUM(P32:P46)</f>
        <v>0.94682571000000015</v>
      </c>
      <c r="Q31" s="186">
        <f>F31-H31</f>
        <v>2.4585472679999998</v>
      </c>
      <c r="R31" s="192">
        <f t="shared" si="7"/>
        <v>2.4585472679999998</v>
      </c>
      <c r="S31" s="559">
        <f>H31/G31*100</f>
        <v>48.032179817164725</v>
      </c>
      <c r="T31" s="578"/>
    </row>
    <row r="32" spans="1:20" ht="47.25">
      <c r="A32" s="123" t="s">
        <v>1074</v>
      </c>
      <c r="B32" s="508" t="s">
        <v>1080</v>
      </c>
      <c r="C32" s="121" t="s">
        <v>876</v>
      </c>
      <c r="D32" s="192">
        <f t="shared" ref="D32:D53" si="18">H32</f>
        <v>6.1970959999999999E-2</v>
      </c>
      <c r="E32" s="186">
        <v>0</v>
      </c>
      <c r="F32" s="192">
        <v>0</v>
      </c>
      <c r="G32" s="192">
        <v>0</v>
      </c>
      <c r="H32" s="186">
        <f>J32+L32+N32+P32</f>
        <v>6.1970959999999999E-2</v>
      </c>
      <c r="I32" s="184">
        <v>0</v>
      </c>
      <c r="J32" s="184">
        <v>0</v>
      </c>
      <c r="K32" s="184">
        <v>0</v>
      </c>
      <c r="L32" s="184">
        <f>61970.96/1000000</f>
        <v>6.1970959999999999E-2</v>
      </c>
      <c r="M32" s="184">
        <v>0</v>
      </c>
      <c r="N32" s="184">
        <v>0</v>
      </c>
      <c r="O32" s="184">
        <v>0</v>
      </c>
      <c r="P32" s="184">
        <v>0</v>
      </c>
      <c r="Q32" s="186">
        <f>D32-H32</f>
        <v>0</v>
      </c>
      <c r="R32" s="190">
        <f t="shared" si="7"/>
        <v>-6.1970959999999999E-2</v>
      </c>
      <c r="S32" s="539" t="e">
        <f t="shared" si="4"/>
        <v>#DIV/0!</v>
      </c>
      <c r="T32" s="602" t="s">
        <v>1144</v>
      </c>
    </row>
    <row r="33" spans="1:20" ht="47.25">
      <c r="A33" s="123" t="s">
        <v>1075</v>
      </c>
      <c r="B33" s="508" t="s">
        <v>1081</v>
      </c>
      <c r="C33" s="121" t="s">
        <v>876</v>
      </c>
      <c r="D33" s="192">
        <f t="shared" si="18"/>
        <v>2.7500230000000001E-2</v>
      </c>
      <c r="E33" s="186">
        <v>0</v>
      </c>
      <c r="F33" s="192">
        <v>0</v>
      </c>
      <c r="G33" s="192">
        <v>0</v>
      </c>
      <c r="H33" s="186">
        <f t="shared" ref="H33:H34" si="19">J33+L33+N33+P33</f>
        <v>2.7500230000000001E-2</v>
      </c>
      <c r="I33" s="184">
        <v>0</v>
      </c>
      <c r="J33" s="184">
        <f>27500.23/1000000</f>
        <v>2.7500230000000001E-2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6">
        <f t="shared" ref="Q33:Q46" si="20">D33-H33</f>
        <v>0</v>
      </c>
      <c r="R33" s="190">
        <f t="shared" si="7"/>
        <v>-2.7500230000000001E-2</v>
      </c>
      <c r="S33" s="539" t="e">
        <f t="shared" si="4"/>
        <v>#DIV/0!</v>
      </c>
      <c r="T33" s="602" t="s">
        <v>1144</v>
      </c>
    </row>
    <row r="34" spans="1:20" ht="47.25">
      <c r="A34" s="123" t="s">
        <v>1076</v>
      </c>
      <c r="B34" s="508" t="s">
        <v>1082</v>
      </c>
      <c r="C34" s="121" t="s">
        <v>876</v>
      </c>
      <c r="D34" s="192">
        <f t="shared" si="18"/>
        <v>0.13751769</v>
      </c>
      <c r="E34" s="186">
        <v>0</v>
      </c>
      <c r="F34" s="192">
        <v>0</v>
      </c>
      <c r="G34" s="192">
        <v>0</v>
      </c>
      <c r="H34" s="186">
        <f t="shared" si="19"/>
        <v>0.13751769</v>
      </c>
      <c r="I34" s="184">
        <v>0</v>
      </c>
      <c r="J34" s="186">
        <v>0</v>
      </c>
      <c r="K34" s="186">
        <v>0</v>
      </c>
      <c r="L34" s="186">
        <f>137517.69/1000000</f>
        <v>0.13751769</v>
      </c>
      <c r="M34" s="184">
        <v>0</v>
      </c>
      <c r="N34" s="184">
        <v>0</v>
      </c>
      <c r="O34" s="184">
        <v>0</v>
      </c>
      <c r="P34" s="184">
        <v>0</v>
      </c>
      <c r="Q34" s="186">
        <f t="shared" si="20"/>
        <v>0</v>
      </c>
      <c r="R34" s="190">
        <f t="shared" si="7"/>
        <v>-0.13751769</v>
      </c>
      <c r="S34" s="539" t="e">
        <f t="shared" si="4"/>
        <v>#DIV/0!</v>
      </c>
      <c r="T34" s="602" t="s">
        <v>1144</v>
      </c>
    </row>
    <row r="35" spans="1:20" ht="63">
      <c r="A35" s="123" t="s">
        <v>1077</v>
      </c>
      <c r="B35" s="508" t="s">
        <v>1157</v>
      </c>
      <c r="C35" s="121" t="s">
        <v>876</v>
      </c>
      <c r="D35" s="192">
        <f t="shared" ref="D35:D37" si="21">H35</f>
        <v>8.6533588999999994E-2</v>
      </c>
      <c r="E35" s="186">
        <v>0</v>
      </c>
      <c r="F35" s="192">
        <v>0</v>
      </c>
      <c r="G35" s="192">
        <v>0</v>
      </c>
      <c r="H35" s="186">
        <f t="shared" ref="H35" si="22">J35+L35+N35+P35</f>
        <v>8.6533588999999994E-2</v>
      </c>
      <c r="I35" s="184">
        <v>0</v>
      </c>
      <c r="J35" s="186">
        <v>0</v>
      </c>
      <c r="K35" s="186">
        <v>0</v>
      </c>
      <c r="L35" s="186">
        <f>60000/1000000</f>
        <v>0.06</v>
      </c>
      <c r="M35" s="184">
        <v>0</v>
      </c>
      <c r="N35" s="186">
        <f>((5661.27+2770.28)*1.18+16584.36)/1000000</f>
        <v>2.6533589E-2</v>
      </c>
      <c r="O35" s="184">
        <v>0</v>
      </c>
      <c r="P35" s="184">
        <v>0</v>
      </c>
      <c r="Q35" s="186">
        <f t="shared" si="20"/>
        <v>0</v>
      </c>
      <c r="R35" s="190">
        <f t="shared" ref="R35:R37" si="23">G35-H35</f>
        <v>-8.6533588999999994E-2</v>
      </c>
      <c r="S35" s="539" t="e">
        <f t="shared" ref="S35:S37" si="24">H35/G35*100</f>
        <v>#DIV/0!</v>
      </c>
      <c r="T35" s="602" t="s">
        <v>1144</v>
      </c>
    </row>
    <row r="36" spans="1:20" ht="31.5">
      <c r="A36" s="123" t="s">
        <v>1078</v>
      </c>
      <c r="B36" s="514" t="s">
        <v>1084</v>
      </c>
      <c r="C36" s="121" t="s">
        <v>876</v>
      </c>
      <c r="D36" s="192">
        <f t="shared" si="21"/>
        <v>1.1186430000000001</v>
      </c>
      <c r="E36" s="186">
        <v>0</v>
      </c>
      <c r="F36" s="192">
        <v>0</v>
      </c>
      <c r="G36" s="192">
        <v>0</v>
      </c>
      <c r="H36" s="186">
        <f>J36+L36+N36+P36</f>
        <v>1.1186430000000001</v>
      </c>
      <c r="I36" s="184">
        <v>0</v>
      </c>
      <c r="J36" s="186">
        <f>95000/1000000</f>
        <v>9.5000000000000001E-2</v>
      </c>
      <c r="K36" s="186">
        <v>0</v>
      </c>
      <c r="L36" s="186">
        <f>(124981.24+300000)/1000000</f>
        <v>0.42498123999999998</v>
      </c>
      <c r="M36" s="184">
        <v>0</v>
      </c>
      <c r="N36" s="186">
        <f>(155752.53+205+103101.6+1066+100000)/1000000</f>
        <v>0.36012513000000002</v>
      </c>
      <c r="O36" s="184">
        <v>0</v>
      </c>
      <c r="P36" s="184">
        <f>(38536.63+200000)/1000000</f>
        <v>0.23853663</v>
      </c>
      <c r="Q36" s="186">
        <f t="shared" si="20"/>
        <v>0</v>
      </c>
      <c r="R36" s="190">
        <f t="shared" si="23"/>
        <v>-1.1186430000000001</v>
      </c>
      <c r="S36" s="539" t="e">
        <f t="shared" si="24"/>
        <v>#DIV/0!</v>
      </c>
      <c r="T36" s="602" t="s">
        <v>1144</v>
      </c>
    </row>
    <row r="37" spans="1:20" ht="63">
      <c r="A37" s="123" t="s">
        <v>1079</v>
      </c>
      <c r="B37" s="508" t="s">
        <v>1085</v>
      </c>
      <c r="C37" s="121" t="s">
        <v>876</v>
      </c>
      <c r="D37" s="192">
        <f t="shared" si="21"/>
        <v>9.1999999999999998E-2</v>
      </c>
      <c r="E37" s="186">
        <v>0</v>
      </c>
      <c r="F37" s="192">
        <v>0</v>
      </c>
      <c r="G37" s="192">
        <v>0</v>
      </c>
      <c r="H37" s="186">
        <f t="shared" ref="H37" si="25">J37+L37+N37+P37</f>
        <v>9.1999999999999998E-2</v>
      </c>
      <c r="I37" s="184">
        <v>0</v>
      </c>
      <c r="J37" s="186">
        <v>0</v>
      </c>
      <c r="K37" s="186">
        <v>0</v>
      </c>
      <c r="L37" s="186">
        <f>92000/1000000</f>
        <v>9.1999999999999998E-2</v>
      </c>
      <c r="M37" s="184">
        <v>0</v>
      </c>
      <c r="N37" s="186">
        <v>0</v>
      </c>
      <c r="O37" s="184">
        <v>0</v>
      </c>
      <c r="P37" s="184">
        <v>0</v>
      </c>
      <c r="Q37" s="186">
        <f t="shared" si="20"/>
        <v>0</v>
      </c>
      <c r="R37" s="190">
        <f t="shared" si="23"/>
        <v>-9.1999999999999998E-2</v>
      </c>
      <c r="S37" s="539" t="e">
        <f t="shared" si="24"/>
        <v>#DIV/0!</v>
      </c>
      <c r="T37" s="602" t="s">
        <v>1144</v>
      </c>
    </row>
    <row r="38" spans="1:20" ht="47.25">
      <c r="A38" s="123" t="s">
        <v>1145</v>
      </c>
      <c r="B38" s="508" t="s">
        <v>1156</v>
      </c>
      <c r="C38" s="121" t="s">
        <v>876</v>
      </c>
      <c r="D38" s="192">
        <f t="shared" si="18"/>
        <v>3.9901382999999999E-2</v>
      </c>
      <c r="E38" s="186">
        <v>0</v>
      </c>
      <c r="F38" s="192">
        <v>0</v>
      </c>
      <c r="G38" s="192">
        <v>0</v>
      </c>
      <c r="H38" s="186">
        <f>J38+L38+N38+P38</f>
        <v>3.9901382999999999E-2</v>
      </c>
      <c r="I38" s="184">
        <v>0</v>
      </c>
      <c r="J38" s="186">
        <v>0</v>
      </c>
      <c r="K38" s="186">
        <v>0</v>
      </c>
      <c r="L38" s="186">
        <v>0</v>
      </c>
      <c r="M38" s="184">
        <v>0</v>
      </c>
      <c r="N38" s="186">
        <f>((6842.57+3997.28)*1.18+22110.36+5000)/1000000</f>
        <v>3.9901382999999999E-2</v>
      </c>
      <c r="O38" s="184">
        <v>0</v>
      </c>
      <c r="P38" s="184">
        <v>0</v>
      </c>
      <c r="Q38" s="186">
        <f t="shared" si="20"/>
        <v>0</v>
      </c>
      <c r="R38" s="190">
        <f t="shared" si="7"/>
        <v>-3.9901382999999999E-2</v>
      </c>
      <c r="S38" s="539" t="e">
        <f t="shared" si="4"/>
        <v>#DIV/0!</v>
      </c>
      <c r="T38" s="602" t="s">
        <v>1144</v>
      </c>
    </row>
    <row r="39" spans="1:20" ht="47.25">
      <c r="A39" s="123" t="s">
        <v>1146</v>
      </c>
      <c r="B39" s="508" t="s">
        <v>1155</v>
      </c>
      <c r="C39" s="121" t="s">
        <v>876</v>
      </c>
      <c r="D39" s="192">
        <f t="shared" ref="D39:D41" si="26">H39</f>
        <v>0.16484497000000001</v>
      </c>
      <c r="E39" s="186">
        <v>0</v>
      </c>
      <c r="F39" s="192">
        <v>0</v>
      </c>
      <c r="G39" s="192">
        <v>0</v>
      </c>
      <c r="H39" s="186">
        <f>J39+L39+N39+P39</f>
        <v>0.16484497000000001</v>
      </c>
      <c r="I39" s="184">
        <v>0</v>
      </c>
      <c r="J39" s="186">
        <v>0</v>
      </c>
      <c r="K39" s="186">
        <v>0</v>
      </c>
      <c r="L39" s="186">
        <v>0</v>
      </c>
      <c r="M39" s="184">
        <v>0</v>
      </c>
      <c r="N39" s="186">
        <v>0</v>
      </c>
      <c r="O39" s="184">
        <v>0</v>
      </c>
      <c r="P39" s="184">
        <v>0.16484497000000001</v>
      </c>
      <c r="Q39" s="186">
        <f t="shared" si="20"/>
        <v>0</v>
      </c>
      <c r="R39" s="190">
        <f t="shared" ref="R39:R45" si="27">G39-H39</f>
        <v>-0.16484497000000001</v>
      </c>
      <c r="S39" s="539" t="e">
        <f t="shared" ref="S39:S45" si="28">H39/G39*100</f>
        <v>#DIV/0!</v>
      </c>
      <c r="T39" s="602" t="s">
        <v>1144</v>
      </c>
    </row>
    <row r="40" spans="1:20" ht="63">
      <c r="A40" s="123" t="s">
        <v>1147</v>
      </c>
      <c r="B40" s="508" t="s">
        <v>1154</v>
      </c>
      <c r="C40" s="121" t="s">
        <v>876</v>
      </c>
      <c r="D40" s="192">
        <f>0.19588582</f>
        <v>0.19588581999999999</v>
      </c>
      <c r="E40" s="186">
        <v>0</v>
      </c>
      <c r="F40" s="192">
        <v>0</v>
      </c>
      <c r="G40" s="192">
        <v>0</v>
      </c>
      <c r="H40" s="186">
        <f t="shared" ref="H40:H45" si="29">J40+L40+N40+P40</f>
        <v>0.18058581999999998</v>
      </c>
      <c r="I40" s="184">
        <v>0</v>
      </c>
      <c r="J40" s="186">
        <v>0</v>
      </c>
      <c r="K40" s="186">
        <v>0</v>
      </c>
      <c r="L40" s="186">
        <v>0</v>
      </c>
      <c r="M40" s="184">
        <v>0</v>
      </c>
      <c r="N40" s="186">
        <v>0</v>
      </c>
      <c r="O40" s="184">
        <v>0</v>
      </c>
      <c r="P40" s="184">
        <f>0.19588582-0.0153</f>
        <v>0.18058581999999998</v>
      </c>
      <c r="Q40" s="186">
        <f t="shared" si="20"/>
        <v>1.5300000000000008E-2</v>
      </c>
      <c r="R40" s="190">
        <f t="shared" si="27"/>
        <v>-0.18058581999999998</v>
      </c>
      <c r="S40" s="539" t="e">
        <f t="shared" si="28"/>
        <v>#DIV/0!</v>
      </c>
      <c r="T40" s="602" t="s">
        <v>1144</v>
      </c>
    </row>
    <row r="41" spans="1:20" ht="63">
      <c r="A41" s="123" t="s">
        <v>1158</v>
      </c>
      <c r="B41" s="508" t="s">
        <v>1159</v>
      </c>
      <c r="C41" s="121" t="s">
        <v>876</v>
      </c>
      <c r="D41" s="192">
        <f t="shared" si="26"/>
        <v>3.3708879999999997E-2</v>
      </c>
      <c r="E41" s="186">
        <v>0</v>
      </c>
      <c r="F41" s="192">
        <v>0</v>
      </c>
      <c r="G41" s="192">
        <v>0</v>
      </c>
      <c r="H41" s="186">
        <f t="shared" si="29"/>
        <v>3.3708879999999997E-2</v>
      </c>
      <c r="I41" s="184">
        <v>0</v>
      </c>
      <c r="J41" s="186">
        <v>0</v>
      </c>
      <c r="K41" s="186">
        <v>0</v>
      </c>
      <c r="L41" s="186">
        <v>0</v>
      </c>
      <c r="M41" s="184">
        <v>0</v>
      </c>
      <c r="N41" s="186">
        <v>0</v>
      </c>
      <c r="O41" s="184">
        <v>0</v>
      </c>
      <c r="P41" s="184">
        <v>3.3708879999999997E-2</v>
      </c>
      <c r="Q41" s="186">
        <f t="shared" si="20"/>
        <v>0</v>
      </c>
      <c r="R41" s="190">
        <f t="shared" si="27"/>
        <v>-3.3708879999999997E-2</v>
      </c>
      <c r="S41" s="539" t="e">
        <f t="shared" si="28"/>
        <v>#DIV/0!</v>
      </c>
      <c r="T41" s="602" t="s">
        <v>1144</v>
      </c>
    </row>
    <row r="42" spans="1:20" ht="63">
      <c r="A42" s="123" t="s">
        <v>1171</v>
      </c>
      <c r="B42" s="508" t="s">
        <v>1160</v>
      </c>
      <c r="C42" s="121" t="s">
        <v>876</v>
      </c>
      <c r="D42" s="192">
        <f>H42</f>
        <v>0.10443908</v>
      </c>
      <c r="E42" s="186">
        <v>0</v>
      </c>
      <c r="F42" s="192">
        <v>0</v>
      </c>
      <c r="G42" s="192">
        <v>0</v>
      </c>
      <c r="H42" s="186">
        <f t="shared" si="29"/>
        <v>0.10443908</v>
      </c>
      <c r="I42" s="184">
        <v>0</v>
      </c>
      <c r="J42" s="186">
        <v>0</v>
      </c>
      <c r="K42" s="186">
        <v>0</v>
      </c>
      <c r="L42" s="186">
        <v>0</v>
      </c>
      <c r="M42" s="184">
        <v>0</v>
      </c>
      <c r="N42" s="186">
        <v>0</v>
      </c>
      <c r="O42" s="184">
        <v>0</v>
      </c>
      <c r="P42" s="184">
        <v>0.10443908</v>
      </c>
      <c r="Q42" s="186">
        <f t="shared" si="20"/>
        <v>0</v>
      </c>
      <c r="R42" s="190">
        <f t="shared" si="27"/>
        <v>-0.10443908</v>
      </c>
      <c r="S42" s="539" t="e">
        <f t="shared" si="28"/>
        <v>#DIV/0!</v>
      </c>
      <c r="T42" s="602" t="s">
        <v>1144</v>
      </c>
    </row>
    <row r="43" spans="1:20" ht="63">
      <c r="A43" s="123" t="s">
        <v>1172</v>
      </c>
      <c r="B43" s="508" t="s">
        <v>1161</v>
      </c>
      <c r="C43" s="121" t="s">
        <v>876</v>
      </c>
      <c r="D43" s="192">
        <f t="shared" ref="D43" si="30">H43</f>
        <v>3.8461339999999997E-2</v>
      </c>
      <c r="E43" s="186">
        <v>0</v>
      </c>
      <c r="F43" s="192">
        <v>0</v>
      </c>
      <c r="G43" s="192">
        <v>0</v>
      </c>
      <c r="H43" s="186">
        <f t="shared" si="29"/>
        <v>3.8461339999999997E-2</v>
      </c>
      <c r="I43" s="184">
        <v>0</v>
      </c>
      <c r="J43" s="186">
        <v>0</v>
      </c>
      <c r="K43" s="186">
        <v>0</v>
      </c>
      <c r="L43" s="186">
        <v>0</v>
      </c>
      <c r="M43" s="184">
        <v>0</v>
      </c>
      <c r="N43" s="186">
        <v>0</v>
      </c>
      <c r="O43" s="184">
        <v>0</v>
      </c>
      <c r="P43" s="184">
        <v>3.8461339999999997E-2</v>
      </c>
      <c r="Q43" s="186">
        <f t="shared" si="20"/>
        <v>0</v>
      </c>
      <c r="R43" s="190">
        <f t="shared" si="27"/>
        <v>-3.8461339999999997E-2</v>
      </c>
      <c r="S43" s="539" t="e">
        <f t="shared" si="28"/>
        <v>#DIV/0!</v>
      </c>
      <c r="T43" s="602" t="s">
        <v>1144</v>
      </c>
    </row>
    <row r="44" spans="1:20" ht="63">
      <c r="A44" s="123" t="s">
        <v>1173</v>
      </c>
      <c r="B44" s="508" t="s">
        <v>1162</v>
      </c>
      <c r="C44" s="121" t="s">
        <v>876</v>
      </c>
      <c r="D44" s="192">
        <f>0.219824</f>
        <v>0.21982399999999999</v>
      </c>
      <c r="E44" s="186">
        <v>0</v>
      </c>
      <c r="F44" s="192">
        <v>0</v>
      </c>
      <c r="G44" s="192">
        <v>0</v>
      </c>
      <c r="H44" s="186">
        <f t="shared" si="29"/>
        <v>0.15882420999999999</v>
      </c>
      <c r="I44" s="184">
        <v>0</v>
      </c>
      <c r="J44" s="186">
        <v>0</v>
      </c>
      <c r="K44" s="186">
        <v>0</v>
      </c>
      <c r="L44" s="186">
        <v>0</v>
      </c>
      <c r="M44" s="184">
        <v>0</v>
      </c>
      <c r="N44" s="186">
        <v>0</v>
      </c>
      <c r="O44" s="184">
        <v>0</v>
      </c>
      <c r="P44" s="184">
        <f>0.21982421-0.061</f>
        <v>0.15882420999999999</v>
      </c>
      <c r="Q44" s="186">
        <f t="shared" si="20"/>
        <v>6.0999789999999998E-2</v>
      </c>
      <c r="R44" s="190">
        <f t="shared" si="27"/>
        <v>-0.15882420999999999</v>
      </c>
      <c r="S44" s="539" t="e">
        <f t="shared" si="28"/>
        <v>#DIV/0!</v>
      </c>
      <c r="T44" s="602" t="s">
        <v>1144</v>
      </c>
    </row>
    <row r="45" spans="1:20" ht="63">
      <c r="A45" s="123" t="s">
        <v>1174</v>
      </c>
      <c r="B45" s="508" t="s">
        <v>1163</v>
      </c>
      <c r="C45" s="121" t="s">
        <v>876</v>
      </c>
      <c r="D45" s="192">
        <f>0.03742478</f>
        <v>3.7424779999999998E-2</v>
      </c>
      <c r="E45" s="186">
        <v>0</v>
      </c>
      <c r="F45" s="192">
        <v>0</v>
      </c>
      <c r="G45" s="192">
        <v>0</v>
      </c>
      <c r="H45" s="186">
        <f t="shared" si="29"/>
        <v>2.7424779999999996E-2</v>
      </c>
      <c r="I45" s="184">
        <v>0</v>
      </c>
      <c r="J45" s="186">
        <v>0</v>
      </c>
      <c r="K45" s="186">
        <v>0</v>
      </c>
      <c r="L45" s="186">
        <v>0</v>
      </c>
      <c r="M45" s="184">
        <v>0</v>
      </c>
      <c r="N45" s="186">
        <v>0</v>
      </c>
      <c r="O45" s="184">
        <v>0</v>
      </c>
      <c r="P45" s="184">
        <f>0.03742478-10000/1000000</f>
        <v>2.7424779999999996E-2</v>
      </c>
      <c r="Q45" s="186">
        <f t="shared" si="20"/>
        <v>1.0000000000000002E-2</v>
      </c>
      <c r="R45" s="190">
        <f t="shared" si="27"/>
        <v>-2.7424779999999996E-2</v>
      </c>
      <c r="S45" s="539" t="e">
        <f t="shared" si="28"/>
        <v>#DIV/0!</v>
      </c>
      <c r="T45" s="602" t="s">
        <v>1144</v>
      </c>
    </row>
    <row r="46" spans="1:20" ht="47.25">
      <c r="A46" s="123" t="s">
        <v>1175</v>
      </c>
      <c r="B46" s="508" t="s">
        <v>1164</v>
      </c>
      <c r="C46" s="121" t="s">
        <v>876</v>
      </c>
      <c r="D46" s="192">
        <v>0.06</v>
      </c>
      <c r="E46" s="186">
        <v>0</v>
      </c>
      <c r="F46" s="192">
        <v>0</v>
      </c>
      <c r="G46" s="192">
        <v>0</v>
      </c>
      <c r="H46" s="186">
        <v>0</v>
      </c>
      <c r="I46" s="184">
        <v>0</v>
      </c>
      <c r="J46" s="186">
        <v>0</v>
      </c>
      <c r="K46" s="186">
        <v>0</v>
      </c>
      <c r="L46" s="186">
        <v>0</v>
      </c>
      <c r="M46" s="184">
        <v>0</v>
      </c>
      <c r="N46" s="186">
        <v>0</v>
      </c>
      <c r="O46" s="184">
        <v>0</v>
      </c>
      <c r="P46" s="184">
        <v>0</v>
      </c>
      <c r="Q46" s="186">
        <f t="shared" si="20"/>
        <v>0.06</v>
      </c>
      <c r="R46" s="190">
        <f t="shared" si="7"/>
        <v>0</v>
      </c>
      <c r="S46" s="539" t="e">
        <f t="shared" si="4"/>
        <v>#DIV/0!</v>
      </c>
      <c r="T46" s="602" t="s">
        <v>1144</v>
      </c>
    </row>
    <row r="47" spans="1:20" s="572" customFormat="1" ht="78.75">
      <c r="A47" s="146" t="s">
        <v>392</v>
      </c>
      <c r="B47" s="507" t="s">
        <v>893</v>
      </c>
      <c r="C47" s="567" t="s">
        <v>876</v>
      </c>
      <c r="D47" s="195">
        <v>0</v>
      </c>
      <c r="E47" s="519">
        <v>0</v>
      </c>
      <c r="F47" s="195">
        <v>0</v>
      </c>
      <c r="G47" s="195">
        <v>0</v>
      </c>
      <c r="H47" s="519">
        <f>SUM(H48:H53)</f>
        <v>1.0540949123999999</v>
      </c>
      <c r="I47" s="182">
        <v>0</v>
      </c>
      <c r="J47" s="182">
        <f>SUBTOTAL(9,J48:J53)</f>
        <v>0.20393600000000001</v>
      </c>
      <c r="K47" s="182">
        <v>0</v>
      </c>
      <c r="L47" s="182">
        <f>SUBTOTAL(9,L48:L53)</f>
        <v>3.874317E-2</v>
      </c>
      <c r="M47" s="182">
        <v>0</v>
      </c>
      <c r="N47" s="519">
        <f>SUBTOTAL(9,N48:N53)</f>
        <v>0.14472301240000002</v>
      </c>
      <c r="O47" s="182">
        <v>0</v>
      </c>
      <c r="P47" s="182">
        <f>SUBTOTAL(9,P48:P53)</f>
        <v>0.66669272999999996</v>
      </c>
      <c r="Q47" s="519">
        <f>F47-H47</f>
        <v>-1.0540949123999999</v>
      </c>
      <c r="R47" s="579">
        <f>G47-H47</f>
        <v>-1.0540949123999999</v>
      </c>
      <c r="S47" s="539" t="e">
        <f t="shared" si="4"/>
        <v>#DIV/0!</v>
      </c>
      <c r="T47" s="602"/>
    </row>
    <row r="48" spans="1:20" ht="63">
      <c r="A48" s="123" t="s">
        <v>1094</v>
      </c>
      <c r="B48" s="129" t="s">
        <v>1095</v>
      </c>
      <c r="C48" s="538" t="s">
        <v>876</v>
      </c>
      <c r="D48" s="192">
        <f t="shared" si="18"/>
        <v>0.20393600000000001</v>
      </c>
      <c r="E48" s="186">
        <v>0</v>
      </c>
      <c r="F48" s="192">
        <v>0</v>
      </c>
      <c r="G48" s="192">
        <v>0</v>
      </c>
      <c r="H48" s="186">
        <f t="shared" ref="H48" si="31">J48+L48+N48+P48</f>
        <v>0.20393600000000001</v>
      </c>
      <c r="I48" s="186">
        <v>0</v>
      </c>
      <c r="J48" s="186">
        <f>203936/1000000</f>
        <v>0.20393600000000001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f>D48-H48</f>
        <v>0</v>
      </c>
      <c r="R48" s="190">
        <f t="shared" si="7"/>
        <v>-0.20393600000000001</v>
      </c>
      <c r="S48" s="539" t="e">
        <f t="shared" si="4"/>
        <v>#DIV/0!</v>
      </c>
      <c r="T48" s="602" t="s">
        <v>1144</v>
      </c>
    </row>
    <row r="49" spans="1:20" ht="63">
      <c r="A49" s="123" t="s">
        <v>1096</v>
      </c>
      <c r="B49" s="129" t="s">
        <v>1103</v>
      </c>
      <c r="C49" s="538" t="s">
        <v>876</v>
      </c>
      <c r="D49" s="192">
        <f>H49+55000/1000000</f>
        <v>9.3743170000000001E-2</v>
      </c>
      <c r="E49" s="186">
        <v>0</v>
      </c>
      <c r="F49" s="192">
        <v>0</v>
      </c>
      <c r="G49" s="192">
        <v>0</v>
      </c>
      <c r="H49" s="186">
        <f>J49+L49+N49+P49</f>
        <v>3.874317E-2</v>
      </c>
      <c r="I49" s="186">
        <v>0</v>
      </c>
      <c r="J49" s="186">
        <v>0</v>
      </c>
      <c r="K49" s="186">
        <v>0</v>
      </c>
      <c r="L49" s="186">
        <f>38743.17/1000000</f>
        <v>3.874317E-2</v>
      </c>
      <c r="M49" s="186">
        <v>0</v>
      </c>
      <c r="N49" s="186">
        <v>0</v>
      </c>
      <c r="O49" s="186">
        <v>0</v>
      </c>
      <c r="P49" s="186">
        <v>0</v>
      </c>
      <c r="Q49" s="186">
        <f t="shared" ref="Q49:Q53" si="32">D49-H49</f>
        <v>5.5E-2</v>
      </c>
      <c r="R49" s="190">
        <f>G49-H49</f>
        <v>-3.874317E-2</v>
      </c>
      <c r="S49" s="539" t="e">
        <f>H49/G49*100</f>
        <v>#DIV/0!</v>
      </c>
      <c r="T49" s="602" t="s">
        <v>1144</v>
      </c>
    </row>
    <row r="50" spans="1:20" ht="63">
      <c r="A50" s="123" t="s">
        <v>1097</v>
      </c>
      <c r="B50" s="129" t="s">
        <v>1149</v>
      </c>
      <c r="C50" s="538" t="s">
        <v>876</v>
      </c>
      <c r="D50" s="192">
        <f>H50</f>
        <v>0.14472301240000002</v>
      </c>
      <c r="E50" s="186">
        <v>0</v>
      </c>
      <c r="F50" s="192">
        <v>0</v>
      </c>
      <c r="G50" s="192">
        <v>0</v>
      </c>
      <c r="H50" s="186">
        <f t="shared" ref="H50:H53" si="33">J50+L50+N50+P50</f>
        <v>0.14472301240000002</v>
      </c>
      <c r="I50" s="186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f>((28167.04+55084.75+3973.39)*1.18+41797.3)/1000000</f>
        <v>0.14472301240000002</v>
      </c>
      <c r="O50" s="186">
        <v>0</v>
      </c>
      <c r="P50" s="186">
        <v>0</v>
      </c>
      <c r="Q50" s="186">
        <f t="shared" si="32"/>
        <v>0</v>
      </c>
      <c r="R50" s="190">
        <f t="shared" si="7"/>
        <v>-0.14472301240000002</v>
      </c>
      <c r="S50" s="539" t="e">
        <f t="shared" si="4"/>
        <v>#DIV/0!</v>
      </c>
      <c r="T50" s="602" t="s">
        <v>1144</v>
      </c>
    </row>
    <row r="51" spans="1:20" ht="63">
      <c r="A51" s="123" t="s">
        <v>1098</v>
      </c>
      <c r="B51" s="129" t="s">
        <v>1177</v>
      </c>
      <c r="C51" s="538" t="s">
        <v>876</v>
      </c>
      <c r="D51" s="192">
        <f>1024358.57/1000000</f>
        <v>1.02435857</v>
      </c>
      <c r="E51" s="186">
        <v>0</v>
      </c>
      <c r="F51" s="192">
        <v>0</v>
      </c>
      <c r="G51" s="192">
        <v>0</v>
      </c>
      <c r="H51" s="186">
        <f t="shared" si="33"/>
        <v>5.1999999999999998E-2</v>
      </c>
      <c r="I51" s="186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86">
        <v>5.1999999999999998E-2</v>
      </c>
      <c r="Q51" s="186">
        <f t="shared" si="32"/>
        <v>0.97235856999999992</v>
      </c>
      <c r="R51" s="190">
        <f t="shared" si="7"/>
        <v>-5.1999999999999998E-2</v>
      </c>
      <c r="S51" s="539" t="e">
        <f t="shared" si="4"/>
        <v>#DIV/0!</v>
      </c>
      <c r="T51" s="602" t="s">
        <v>1144</v>
      </c>
    </row>
    <row r="52" spans="1:20" ht="47.25">
      <c r="A52" s="123" t="s">
        <v>1099</v>
      </c>
      <c r="B52" s="129" t="s">
        <v>1101</v>
      </c>
      <c r="C52" s="538" t="s">
        <v>876</v>
      </c>
      <c r="D52" s="192">
        <f t="shared" si="18"/>
        <v>0.37317107999999999</v>
      </c>
      <c r="E52" s="186">
        <v>0</v>
      </c>
      <c r="F52" s="192">
        <v>0</v>
      </c>
      <c r="G52" s="192">
        <v>0</v>
      </c>
      <c r="H52" s="186">
        <f>J52+L52+N52+P52</f>
        <v>0.37317107999999999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0.37317107999999999</v>
      </c>
      <c r="Q52" s="186">
        <f t="shared" si="32"/>
        <v>0</v>
      </c>
      <c r="R52" s="190">
        <f t="shared" ref="R52" si="34">G52-H52</f>
        <v>-0.37317107999999999</v>
      </c>
      <c r="S52" s="539" t="e">
        <f t="shared" ref="S52" si="35">H52/G52*100</f>
        <v>#DIV/0!</v>
      </c>
      <c r="T52" s="602" t="s">
        <v>1144</v>
      </c>
    </row>
    <row r="53" spans="1:20" ht="63">
      <c r="A53" s="123" t="s">
        <v>1152</v>
      </c>
      <c r="B53" s="129" t="s">
        <v>1102</v>
      </c>
      <c r="C53" s="538" t="s">
        <v>876</v>
      </c>
      <c r="D53" s="192">
        <f t="shared" si="18"/>
        <v>0.24152165</v>
      </c>
      <c r="E53" s="186">
        <v>0</v>
      </c>
      <c r="F53" s="192">
        <v>0</v>
      </c>
      <c r="G53" s="192">
        <v>0</v>
      </c>
      <c r="H53" s="186">
        <f t="shared" si="33"/>
        <v>0.24152165</v>
      </c>
      <c r="I53" s="186">
        <v>0</v>
      </c>
      <c r="J53" s="186">
        <v>0</v>
      </c>
      <c r="K53" s="186">
        <v>0</v>
      </c>
      <c r="L53" s="186">
        <v>0</v>
      </c>
      <c r="M53" s="186">
        <v>0</v>
      </c>
      <c r="N53" s="186">
        <v>0</v>
      </c>
      <c r="O53" s="186">
        <v>0</v>
      </c>
      <c r="P53" s="186">
        <v>0.24152165</v>
      </c>
      <c r="Q53" s="186">
        <f t="shared" si="32"/>
        <v>0</v>
      </c>
      <c r="R53" s="190">
        <f t="shared" si="7"/>
        <v>-0.24152165</v>
      </c>
      <c r="S53" s="539" t="e">
        <f t="shared" si="4"/>
        <v>#DIV/0!</v>
      </c>
      <c r="T53" s="602" t="s">
        <v>1144</v>
      </c>
    </row>
    <row r="54" spans="1:20" ht="47.25">
      <c r="A54" s="118" t="s">
        <v>910</v>
      </c>
      <c r="B54" s="507" t="s">
        <v>911</v>
      </c>
      <c r="C54" s="567" t="s">
        <v>876</v>
      </c>
      <c r="D54" s="520">
        <f>D55+D59</f>
        <v>13.727249195601797</v>
      </c>
      <c r="E54" s="519">
        <f>E55+E59</f>
        <v>1.9608435999999998</v>
      </c>
      <c r="F54" s="520">
        <f>F55+F59</f>
        <v>11.766398604201797</v>
      </c>
      <c r="G54" s="519">
        <f t="shared" ref="G54:P54" si="36">G55+G59+G67+G76</f>
        <v>11.766400600001797</v>
      </c>
      <c r="H54" s="519">
        <f t="shared" si="36"/>
        <v>5.6513455100000005</v>
      </c>
      <c r="I54" s="186">
        <f t="shared" si="36"/>
        <v>0</v>
      </c>
      <c r="J54" s="186">
        <f t="shared" si="36"/>
        <v>2.9246679000000002</v>
      </c>
      <c r="K54" s="186">
        <f t="shared" si="36"/>
        <v>0</v>
      </c>
      <c r="L54" s="186">
        <f t="shared" si="36"/>
        <v>1.2081327000000002</v>
      </c>
      <c r="M54" s="186">
        <f t="shared" si="36"/>
        <v>0</v>
      </c>
      <c r="N54" s="186">
        <f t="shared" si="36"/>
        <v>0</v>
      </c>
      <c r="O54" s="186">
        <f t="shared" si="36"/>
        <v>3.0693599999999996</v>
      </c>
      <c r="P54" s="186">
        <f t="shared" si="36"/>
        <v>1.5185449100000001</v>
      </c>
      <c r="Q54" s="519">
        <f>F54-H54</f>
        <v>6.1150530942017962</v>
      </c>
      <c r="R54" s="579">
        <f t="shared" si="7"/>
        <v>6.1150550900017961</v>
      </c>
      <c r="S54" s="568">
        <f t="shared" si="4"/>
        <v>48.029518134875822</v>
      </c>
      <c r="T54" s="168"/>
    </row>
    <row r="55" spans="1:20" ht="78.75">
      <c r="A55" s="118" t="s">
        <v>840</v>
      </c>
      <c r="B55" s="507" t="s">
        <v>912</v>
      </c>
      <c r="C55" s="567" t="s">
        <v>876</v>
      </c>
      <c r="D55" s="520">
        <f>D56</f>
        <v>4.9791086299999998</v>
      </c>
      <c r="E55" s="519">
        <f t="shared" ref="E55:F55" si="37">E56</f>
        <v>1.9608435999999998</v>
      </c>
      <c r="F55" s="520">
        <f t="shared" si="37"/>
        <v>3.0182650300000002</v>
      </c>
      <c r="G55" s="519">
        <f>G56</f>
        <v>3.0182650299999998</v>
      </c>
      <c r="H55" s="519">
        <f>H56</f>
        <v>3.0182650300000002</v>
      </c>
      <c r="I55" s="186">
        <f t="shared" ref="I55:P55" si="38">I56</f>
        <v>0</v>
      </c>
      <c r="J55" s="186">
        <f t="shared" si="38"/>
        <v>1.8101323300000001</v>
      </c>
      <c r="K55" s="186">
        <f t="shared" si="38"/>
        <v>0</v>
      </c>
      <c r="L55" s="186">
        <f t="shared" si="38"/>
        <v>1.2081327000000002</v>
      </c>
      <c r="M55" s="186">
        <f t="shared" si="38"/>
        <v>0</v>
      </c>
      <c r="N55" s="186">
        <f t="shared" si="38"/>
        <v>0</v>
      </c>
      <c r="O55" s="186">
        <f t="shared" si="38"/>
        <v>0</v>
      </c>
      <c r="P55" s="186">
        <f t="shared" si="38"/>
        <v>0</v>
      </c>
      <c r="Q55" s="519">
        <v>0</v>
      </c>
      <c r="R55" s="579">
        <f t="shared" si="7"/>
        <v>0</v>
      </c>
      <c r="S55" s="539">
        <f t="shared" si="4"/>
        <v>100.00000000000003</v>
      </c>
      <c r="T55" s="168"/>
    </row>
    <row r="56" spans="1:20" ht="31.5">
      <c r="A56" s="118" t="s">
        <v>421</v>
      </c>
      <c r="B56" s="507" t="s">
        <v>913</v>
      </c>
      <c r="C56" s="567" t="s">
        <v>876</v>
      </c>
      <c r="D56" s="520">
        <f>D58+D57</f>
        <v>4.9791086299999998</v>
      </c>
      <c r="E56" s="519">
        <f>E58+E57</f>
        <v>1.9608435999999998</v>
      </c>
      <c r="F56" s="520">
        <f>F58+F57</f>
        <v>3.0182650300000002</v>
      </c>
      <c r="G56" s="520">
        <f>SUM(G57:G58)</f>
        <v>3.0182650299999998</v>
      </c>
      <c r="H56" s="520">
        <f>SUM(H57:H58)</f>
        <v>3.0182650300000002</v>
      </c>
      <c r="I56" s="181">
        <f t="shared" ref="I56:P56" si="39">I58+I57</f>
        <v>0</v>
      </c>
      <c r="J56" s="181">
        <f t="shared" si="39"/>
        <v>1.8101323300000001</v>
      </c>
      <c r="K56" s="181">
        <f t="shared" si="39"/>
        <v>0</v>
      </c>
      <c r="L56" s="181">
        <f t="shared" si="39"/>
        <v>1.2081327000000002</v>
      </c>
      <c r="M56" s="181">
        <f t="shared" si="39"/>
        <v>0</v>
      </c>
      <c r="N56" s="520">
        <f t="shared" si="39"/>
        <v>0</v>
      </c>
      <c r="O56" s="181">
        <f t="shared" si="39"/>
        <v>0</v>
      </c>
      <c r="P56" s="181">
        <f t="shared" si="39"/>
        <v>0</v>
      </c>
      <c r="Q56" s="519">
        <v>0</v>
      </c>
      <c r="R56" s="579">
        <f t="shared" si="7"/>
        <v>0</v>
      </c>
      <c r="S56" s="539">
        <f t="shared" si="4"/>
        <v>100.00000000000003</v>
      </c>
      <c r="T56" s="168"/>
    </row>
    <row r="57" spans="1:20" s="142" customFormat="1" ht="15.75">
      <c r="A57" s="137" t="s">
        <v>423</v>
      </c>
      <c r="B57" s="129" t="s">
        <v>1070</v>
      </c>
      <c r="C57" s="133" t="s">
        <v>1086</v>
      </c>
      <c r="D57" s="188">
        <f>4377109/1000000</f>
        <v>4.3771089999999999</v>
      </c>
      <c r="E57" s="186">
        <f>1.3131327+0.245+(0.20318716+0.19952374)</f>
        <v>1.9608435999999998</v>
      </c>
      <c r="F57" s="189">
        <f>D57-E57</f>
        <v>2.4162654000000003</v>
      </c>
      <c r="G57" s="189">
        <f>2.4162654</f>
        <v>2.4162653999999999</v>
      </c>
      <c r="H57" s="186">
        <f>J57+L57+N57+P57</f>
        <v>2.4162654000000003</v>
      </c>
      <c r="I57" s="186">
        <v>0</v>
      </c>
      <c r="J57" s="186">
        <f>0.4027109*3</f>
        <v>1.2081326999999999</v>
      </c>
      <c r="K57" s="186">
        <v>0</v>
      </c>
      <c r="L57" s="186">
        <f>(402710.9+249295.9+153415+402710.9)/1000000</f>
        <v>1.2081327000000002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90">
        <f t="shared" si="7"/>
        <v>0</v>
      </c>
      <c r="S57" s="539">
        <f t="shared" si="4"/>
        <v>100.00000000000003</v>
      </c>
      <c r="T57" s="602" t="s">
        <v>1195</v>
      </c>
    </row>
    <row r="58" spans="1:20" s="142" customFormat="1" ht="15.75">
      <c r="A58" s="137" t="s">
        <v>424</v>
      </c>
      <c r="B58" s="129" t="s">
        <v>1071</v>
      </c>
      <c r="C58" s="133" t="s">
        <v>1090</v>
      </c>
      <c r="D58" s="189">
        <f>H58</f>
        <v>0.60199963000000001</v>
      </c>
      <c r="E58" s="186">
        <v>0</v>
      </c>
      <c r="F58" s="189">
        <f>D58-E58</f>
        <v>0.60199963000000001</v>
      </c>
      <c r="G58" s="189">
        <f>0.60199963</f>
        <v>0.60199963000000001</v>
      </c>
      <c r="H58" s="186">
        <f>J58+L58+N58+P58</f>
        <v>0.60199963000000001</v>
      </c>
      <c r="I58" s="186">
        <v>0</v>
      </c>
      <c r="J58" s="186">
        <f>0.60199963</f>
        <v>0.60199963000000001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6">
        <v>0</v>
      </c>
      <c r="Q58" s="186">
        <v>0</v>
      </c>
      <c r="R58" s="190">
        <f t="shared" si="7"/>
        <v>0</v>
      </c>
      <c r="S58" s="539">
        <f t="shared" si="4"/>
        <v>100</v>
      </c>
      <c r="T58" s="602" t="s">
        <v>1195</v>
      </c>
    </row>
    <row r="59" spans="1:20" ht="47.25">
      <c r="A59" s="118" t="s">
        <v>841</v>
      </c>
      <c r="B59" s="507" t="s">
        <v>915</v>
      </c>
      <c r="C59" s="538" t="s">
        <v>876</v>
      </c>
      <c r="D59" s="520">
        <f>D60</f>
        <v>8.7481405656017959</v>
      </c>
      <c r="E59" s="519">
        <f t="shared" ref="E59" si="40">E60</f>
        <v>0</v>
      </c>
      <c r="F59" s="520">
        <f>F60</f>
        <v>8.7481335742017965</v>
      </c>
      <c r="G59" s="519">
        <f t="shared" ref="G59:P59" si="41">G60+G66</f>
        <v>8.7481355700017964</v>
      </c>
      <c r="H59" s="519">
        <f t="shared" si="41"/>
        <v>2.6330804800000003</v>
      </c>
      <c r="I59" s="184">
        <f t="shared" si="41"/>
        <v>0</v>
      </c>
      <c r="J59" s="184">
        <f t="shared" si="41"/>
        <v>1.1145355700000001</v>
      </c>
      <c r="K59" s="184">
        <f t="shared" si="41"/>
        <v>0</v>
      </c>
      <c r="L59" s="184">
        <f t="shared" si="41"/>
        <v>0</v>
      </c>
      <c r="M59" s="184">
        <f t="shared" si="41"/>
        <v>0</v>
      </c>
      <c r="N59" s="186">
        <f t="shared" si="41"/>
        <v>0</v>
      </c>
      <c r="O59" s="184">
        <f t="shared" si="41"/>
        <v>3.0693599999999996</v>
      </c>
      <c r="P59" s="184">
        <f t="shared" si="41"/>
        <v>1.5185449100000001</v>
      </c>
      <c r="Q59" s="519">
        <f>F59-H59</f>
        <v>6.1150530942017962</v>
      </c>
      <c r="R59" s="579">
        <f>G59-H59</f>
        <v>6.1150550900017961</v>
      </c>
      <c r="S59" s="568">
        <f t="shared" si="4"/>
        <v>30.098761718200713</v>
      </c>
      <c r="T59" s="168"/>
    </row>
    <row r="60" spans="1:20" s="572" customFormat="1" ht="31.5">
      <c r="A60" s="118" t="s">
        <v>916</v>
      </c>
      <c r="B60" s="507" t="s">
        <v>917</v>
      </c>
      <c r="C60" s="567" t="s">
        <v>876</v>
      </c>
      <c r="D60" s="520">
        <f>SUM(D61:D65)</f>
        <v>8.7481405656017959</v>
      </c>
      <c r="E60" s="519">
        <v>0</v>
      </c>
      <c r="F60" s="520">
        <f>SUM(F61:F65)</f>
        <v>8.7481335742017965</v>
      </c>
      <c r="G60" s="519">
        <f>SUM(G61:G65)</f>
        <v>8.7481355700017964</v>
      </c>
      <c r="H60" s="519">
        <f>SUM(H61:H65)</f>
        <v>2.6330804800000003</v>
      </c>
      <c r="I60" s="182">
        <f t="shared" ref="I60:L60" si="42">I62+I63+I64+I65</f>
        <v>0</v>
      </c>
      <c r="J60" s="182">
        <f t="shared" si="42"/>
        <v>1.1145355700000001</v>
      </c>
      <c r="K60" s="182">
        <f t="shared" si="42"/>
        <v>0</v>
      </c>
      <c r="L60" s="182">
        <f t="shared" si="42"/>
        <v>0</v>
      </c>
      <c r="M60" s="182">
        <f>SUM(M62:M65)</f>
        <v>0</v>
      </c>
      <c r="N60" s="519">
        <f>SUM(N62:N65)</f>
        <v>0</v>
      </c>
      <c r="O60" s="182">
        <f>SUM(O62:O65)</f>
        <v>3.0693599999999996</v>
      </c>
      <c r="P60" s="182">
        <f>SUM(P62:P65)</f>
        <v>1.5185449100000001</v>
      </c>
      <c r="Q60" s="519">
        <f>Q62+Q63+Q64+Q65</f>
        <v>0.23621249235553665</v>
      </c>
      <c r="R60" s="579">
        <f>SUM(R61:R65)</f>
        <v>6.1150550900017961</v>
      </c>
      <c r="S60" s="568">
        <f t="shared" si="4"/>
        <v>30.098761718200713</v>
      </c>
      <c r="T60" s="562"/>
    </row>
    <row r="61" spans="1:20" ht="93" customHeight="1">
      <c r="A61" s="137" t="s">
        <v>1166</v>
      </c>
      <c r="B61" s="149" t="s">
        <v>918</v>
      </c>
      <c r="C61" s="121" t="s">
        <v>919</v>
      </c>
      <c r="D61" s="192">
        <f>F61:F62</f>
        <v>0.61028050764625996</v>
      </c>
      <c r="E61" s="186">
        <v>0</v>
      </c>
      <c r="F61" s="189">
        <f>G61</f>
        <v>0.61028050764625996</v>
      </c>
      <c r="G61" s="193">
        <f>0.517186870886661*1.18</f>
        <v>0.61028050764625996</v>
      </c>
      <c r="H61" s="186">
        <f>J61+L61+N61+P61</f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6">
        <v>0</v>
      </c>
      <c r="O61" s="191">
        <v>0</v>
      </c>
      <c r="P61" s="184">
        <v>0</v>
      </c>
      <c r="Q61" s="186">
        <f t="shared" ref="Q61" si="43">F61-H61</f>
        <v>0.61028050764625996</v>
      </c>
      <c r="R61" s="190">
        <f t="shared" ref="R61" si="44">G61-H61</f>
        <v>0.61028050764625996</v>
      </c>
      <c r="S61" s="564">
        <f t="shared" ref="S61" si="45">H61/G61*100</f>
        <v>0</v>
      </c>
      <c r="T61" s="600" t="s">
        <v>1194</v>
      </c>
    </row>
    <row r="62" spans="1:20" ht="88.5" customHeight="1">
      <c r="A62" s="137" t="s">
        <v>1167</v>
      </c>
      <c r="B62" s="149" t="s">
        <v>920</v>
      </c>
      <c r="C62" s="121" t="s">
        <v>921</v>
      </c>
      <c r="D62" s="192">
        <f>F62:F63</f>
        <v>0.48621249235553665</v>
      </c>
      <c r="E62" s="186">
        <v>0</v>
      </c>
      <c r="F62" s="189">
        <f>G62</f>
        <v>0.48621249235553665</v>
      </c>
      <c r="G62" s="193">
        <f>0.412044485047065*1.18</f>
        <v>0.48621249235553665</v>
      </c>
      <c r="H62" s="186">
        <f t="shared" ref="H62:H63" si="46">J62+L62+N62+P62</f>
        <v>0.25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6">
        <v>0</v>
      </c>
      <c r="O62" s="191">
        <v>0</v>
      </c>
      <c r="P62" s="184">
        <f>250000/1000000</f>
        <v>0.25</v>
      </c>
      <c r="Q62" s="186">
        <f t="shared" ref="Q62:Q72" si="47">F62-H62</f>
        <v>0.23621249235553665</v>
      </c>
      <c r="R62" s="190">
        <f t="shared" si="7"/>
        <v>0.23621249235553665</v>
      </c>
      <c r="S62" s="564">
        <f>H62/G62*100</f>
        <v>51.417847943156239</v>
      </c>
      <c r="T62" s="602" t="s">
        <v>1191</v>
      </c>
    </row>
    <row r="63" spans="1:20" ht="79.5" customHeight="1">
      <c r="A63" s="137" t="s">
        <v>1168</v>
      </c>
      <c r="B63" s="149" t="s">
        <v>922</v>
      </c>
      <c r="C63" s="121" t="s">
        <v>923</v>
      </c>
      <c r="D63" s="192">
        <f>1984254.23/1000000*1.18+0.15138018018</f>
        <v>2.4928001715799994</v>
      </c>
      <c r="E63" s="186">
        <v>0</v>
      </c>
      <c r="F63" s="189">
        <f>G63</f>
        <v>2.4927931801800001</v>
      </c>
      <c r="G63" s="193">
        <f>(2.341413+0.15138018018)</f>
        <v>2.4927931801800001</v>
      </c>
      <c r="H63" s="186">
        <f t="shared" si="46"/>
        <v>0.80138018018000001</v>
      </c>
      <c r="I63" s="184">
        <v>0</v>
      </c>
      <c r="J63" s="186">
        <v>0.15138018017999999</v>
      </c>
      <c r="K63" s="184">
        <v>0</v>
      </c>
      <c r="L63" s="184">
        <v>0</v>
      </c>
      <c r="M63" s="184">
        <v>0</v>
      </c>
      <c r="N63" s="186">
        <v>0</v>
      </c>
      <c r="O63" s="191">
        <v>1.2047799999999997</v>
      </c>
      <c r="P63" s="184">
        <f>(400000+250000)/1000000</f>
        <v>0.65</v>
      </c>
      <c r="Q63" s="186">
        <v>0</v>
      </c>
      <c r="R63" s="190">
        <f t="shared" si="7"/>
        <v>1.6914130000000001</v>
      </c>
      <c r="S63" s="564">
        <f t="shared" si="4"/>
        <v>32.147880801011091</v>
      </c>
      <c r="T63" s="601" t="s">
        <v>1191</v>
      </c>
    </row>
    <row r="64" spans="1:20" ht="94.5">
      <c r="A64" s="137" t="s">
        <v>1169</v>
      </c>
      <c r="B64" s="149" t="s">
        <v>1089</v>
      </c>
      <c r="C64" s="121" t="s">
        <v>924</v>
      </c>
      <c r="D64" s="192">
        <f>3555671.19/1000000*1.18+0.26869981982</f>
        <v>4.4643918240199998</v>
      </c>
      <c r="E64" s="186">
        <v>0</v>
      </c>
      <c r="F64" s="189">
        <f t="shared" ref="F64" si="48">D64-E64</f>
        <v>4.4643918240199998</v>
      </c>
      <c r="G64" s="193">
        <f>(4.195694+0.26869981982)</f>
        <v>4.4643938198199997</v>
      </c>
      <c r="H64" s="186">
        <f>J64+L64+N64+P64</f>
        <v>0.88724472982000002</v>
      </c>
      <c r="I64" s="184">
        <v>0</v>
      </c>
      <c r="J64" s="186">
        <v>0.26869981982000002</v>
      </c>
      <c r="K64" s="184">
        <v>0</v>
      </c>
      <c r="L64" s="184">
        <v>0</v>
      </c>
      <c r="M64" s="184">
        <v>0</v>
      </c>
      <c r="N64" s="186">
        <v>0</v>
      </c>
      <c r="O64" s="191">
        <v>1.8645799999999999</v>
      </c>
      <c r="P64" s="184">
        <f>618544.91/1000000</f>
        <v>0.61854491</v>
      </c>
      <c r="Q64" s="186">
        <v>0</v>
      </c>
      <c r="R64" s="190">
        <f t="shared" si="7"/>
        <v>3.5771490899999998</v>
      </c>
      <c r="S64" s="564">
        <f t="shared" si="4"/>
        <v>19.873800691171393</v>
      </c>
      <c r="T64" s="602" t="s">
        <v>1191</v>
      </c>
    </row>
    <row r="65" spans="1:20" ht="47.25">
      <c r="A65" s="137" t="s">
        <v>1170</v>
      </c>
      <c r="B65" s="149" t="s">
        <v>1069</v>
      </c>
      <c r="C65" s="121" t="s">
        <v>1093</v>
      </c>
      <c r="D65" s="192">
        <f>J65</f>
        <v>0.69445557000000002</v>
      </c>
      <c r="E65" s="186">
        <v>0</v>
      </c>
      <c r="F65" s="189">
        <f>D65-E65</f>
        <v>0.69445557000000002</v>
      </c>
      <c r="G65" s="193">
        <f>0.69445557</f>
        <v>0.69445557000000002</v>
      </c>
      <c r="H65" s="186">
        <f>J65+L65+N65+P65</f>
        <v>0.69445557000000002</v>
      </c>
      <c r="I65" s="186">
        <v>0</v>
      </c>
      <c r="J65" s="186">
        <f>(0.6080624+0.08639317)</f>
        <v>0.69445557000000002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90">
        <f t="shared" si="7"/>
        <v>0</v>
      </c>
      <c r="S65" s="539">
        <f t="shared" si="4"/>
        <v>100</v>
      </c>
      <c r="T65" s="602" t="s">
        <v>1195</v>
      </c>
    </row>
    <row r="66" spans="1:20" customFormat="1" ht="47.25" hidden="1">
      <c r="A66" s="146" t="s">
        <v>925</v>
      </c>
      <c r="B66" s="507" t="s">
        <v>926</v>
      </c>
      <c r="C66" s="125" t="s">
        <v>876</v>
      </c>
      <c r="D66" s="185">
        <v>0</v>
      </c>
      <c r="E66" s="186">
        <v>0</v>
      </c>
      <c r="F66" s="191">
        <v>0</v>
      </c>
      <c r="G66" s="191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6">
        <v>0</v>
      </c>
      <c r="O66" s="184">
        <v>0</v>
      </c>
      <c r="P66" s="184">
        <v>0</v>
      </c>
      <c r="Q66" s="184">
        <f t="shared" si="47"/>
        <v>0</v>
      </c>
      <c r="R66" s="113">
        <f t="shared" si="7"/>
        <v>0</v>
      </c>
      <c r="S66" s="150" t="e">
        <f t="shared" si="4"/>
        <v>#DIV/0!</v>
      </c>
      <c r="T66" s="167"/>
    </row>
    <row r="67" spans="1:20" customFormat="1" ht="47.25" hidden="1">
      <c r="A67" s="118" t="s">
        <v>842</v>
      </c>
      <c r="B67" s="507" t="s">
        <v>927</v>
      </c>
      <c r="C67" s="125" t="s">
        <v>876</v>
      </c>
      <c r="D67" s="191">
        <v>40.801016043829733</v>
      </c>
      <c r="E67" s="186">
        <v>0</v>
      </c>
      <c r="F67" s="191">
        <v>0</v>
      </c>
      <c r="G67" s="184">
        <f t="shared" ref="G67:L67" si="49">G68+G69+G70+G71+G72+G73+G74+G75</f>
        <v>0</v>
      </c>
      <c r="H67" s="184">
        <f t="shared" si="49"/>
        <v>0</v>
      </c>
      <c r="I67" s="184">
        <f t="shared" si="49"/>
        <v>0</v>
      </c>
      <c r="J67" s="184">
        <f t="shared" si="49"/>
        <v>0</v>
      </c>
      <c r="K67" s="184">
        <f t="shared" si="49"/>
        <v>0</v>
      </c>
      <c r="L67" s="184">
        <f t="shared" si="49"/>
        <v>0</v>
      </c>
      <c r="M67" s="184">
        <f t="shared" ref="M67:P67" si="50">M68+M69+M70+M71+M72+M73+M74+M75</f>
        <v>0</v>
      </c>
      <c r="N67" s="186">
        <f t="shared" si="50"/>
        <v>0</v>
      </c>
      <c r="O67" s="184">
        <f t="shared" si="50"/>
        <v>0</v>
      </c>
      <c r="P67" s="184">
        <f t="shared" si="50"/>
        <v>0</v>
      </c>
      <c r="Q67" s="184">
        <f t="shared" si="47"/>
        <v>0</v>
      </c>
      <c r="R67" s="113">
        <f t="shared" si="7"/>
        <v>0</v>
      </c>
      <c r="S67" s="150" t="e">
        <f t="shared" si="4"/>
        <v>#DIV/0!</v>
      </c>
      <c r="T67" s="167"/>
    </row>
    <row r="68" spans="1:20" customFormat="1" ht="47.25" hidden="1">
      <c r="A68" s="146" t="s">
        <v>436</v>
      </c>
      <c r="B68" s="507" t="s">
        <v>928</v>
      </c>
      <c r="C68" s="125" t="s">
        <v>876</v>
      </c>
      <c r="D68" s="191">
        <v>40.801016043829733</v>
      </c>
      <c r="E68" s="186">
        <v>0</v>
      </c>
      <c r="F68" s="191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6">
        <v>0</v>
      </c>
      <c r="O68" s="184">
        <v>0</v>
      </c>
      <c r="P68" s="184">
        <v>0</v>
      </c>
      <c r="Q68" s="184">
        <f t="shared" si="47"/>
        <v>0</v>
      </c>
      <c r="R68" s="113">
        <f t="shared" si="7"/>
        <v>0</v>
      </c>
      <c r="S68" s="150" t="e">
        <f t="shared" si="4"/>
        <v>#DIV/0!</v>
      </c>
      <c r="T68" s="167"/>
    </row>
    <row r="69" spans="1:20" customFormat="1" ht="47.25" hidden="1">
      <c r="A69" s="146" t="s">
        <v>440</v>
      </c>
      <c r="B69" s="507" t="s">
        <v>929</v>
      </c>
      <c r="C69" s="125" t="s">
        <v>876</v>
      </c>
      <c r="D69" s="185">
        <v>0</v>
      </c>
      <c r="E69" s="186">
        <v>0</v>
      </c>
      <c r="F69" s="185">
        <v>0</v>
      </c>
      <c r="G69" s="191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6">
        <v>0</v>
      </c>
      <c r="O69" s="184">
        <v>0</v>
      </c>
      <c r="P69" s="184">
        <v>0</v>
      </c>
      <c r="Q69" s="184">
        <f t="shared" si="47"/>
        <v>0</v>
      </c>
      <c r="R69" s="113">
        <f t="shared" si="7"/>
        <v>0</v>
      </c>
      <c r="S69" s="150" t="e">
        <f t="shared" si="4"/>
        <v>#DIV/0!</v>
      </c>
      <c r="T69" s="167"/>
    </row>
    <row r="70" spans="1:20" customFormat="1" ht="47.25" hidden="1">
      <c r="A70" s="146" t="s">
        <v>441</v>
      </c>
      <c r="B70" s="507" t="s">
        <v>930</v>
      </c>
      <c r="C70" s="125" t="s">
        <v>876</v>
      </c>
      <c r="D70" s="185">
        <v>0</v>
      </c>
      <c r="E70" s="186">
        <v>0</v>
      </c>
      <c r="F70" s="185">
        <v>0</v>
      </c>
      <c r="G70" s="191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6">
        <v>0</v>
      </c>
      <c r="O70" s="184">
        <v>0</v>
      </c>
      <c r="P70" s="184">
        <v>0</v>
      </c>
      <c r="Q70" s="184">
        <f t="shared" si="47"/>
        <v>0</v>
      </c>
      <c r="R70" s="113">
        <f t="shared" si="7"/>
        <v>0</v>
      </c>
      <c r="S70" s="150" t="e">
        <f t="shared" si="4"/>
        <v>#DIV/0!</v>
      </c>
      <c r="T70" s="167"/>
    </row>
    <row r="71" spans="1:20" customFormat="1" ht="47.25" hidden="1">
      <c r="A71" s="146" t="s">
        <v>442</v>
      </c>
      <c r="B71" s="507" t="s">
        <v>931</v>
      </c>
      <c r="C71" s="125" t="s">
        <v>876</v>
      </c>
      <c r="D71" s="185">
        <v>0</v>
      </c>
      <c r="E71" s="186">
        <v>0</v>
      </c>
      <c r="F71" s="185">
        <v>0</v>
      </c>
      <c r="G71" s="191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6">
        <v>0</v>
      </c>
      <c r="O71" s="184">
        <v>0</v>
      </c>
      <c r="P71" s="184">
        <v>0</v>
      </c>
      <c r="Q71" s="184">
        <f t="shared" si="47"/>
        <v>0</v>
      </c>
      <c r="R71" s="113">
        <f t="shared" si="7"/>
        <v>0</v>
      </c>
      <c r="S71" s="150" t="e">
        <f t="shared" si="4"/>
        <v>#DIV/0!</v>
      </c>
      <c r="T71" s="167"/>
    </row>
    <row r="72" spans="1:20" customFormat="1" ht="63" hidden="1">
      <c r="A72" s="146" t="s">
        <v>443</v>
      </c>
      <c r="B72" s="507" t="s">
        <v>932</v>
      </c>
      <c r="C72" s="125" t="s">
        <v>876</v>
      </c>
      <c r="D72" s="185">
        <v>0</v>
      </c>
      <c r="E72" s="186">
        <v>0</v>
      </c>
      <c r="F72" s="185">
        <v>0</v>
      </c>
      <c r="G72" s="191">
        <v>0</v>
      </c>
      <c r="H72" s="184">
        <v>0</v>
      </c>
      <c r="I72" s="184">
        <v>0</v>
      </c>
      <c r="J72" s="184">
        <v>0</v>
      </c>
      <c r="K72" s="184">
        <v>0</v>
      </c>
      <c r="L72" s="184">
        <v>0</v>
      </c>
      <c r="M72" s="184">
        <v>0</v>
      </c>
      <c r="N72" s="186">
        <v>0</v>
      </c>
      <c r="O72" s="184">
        <v>0</v>
      </c>
      <c r="P72" s="184">
        <v>0</v>
      </c>
      <c r="Q72" s="184">
        <f t="shared" si="47"/>
        <v>0</v>
      </c>
      <c r="R72" s="113">
        <f t="shared" si="7"/>
        <v>0</v>
      </c>
      <c r="S72" s="150" t="e">
        <f t="shared" si="4"/>
        <v>#DIV/0!</v>
      </c>
      <c r="T72" s="167"/>
    </row>
    <row r="73" spans="1:20" customFormat="1" ht="63" hidden="1">
      <c r="A73" s="146" t="s">
        <v>444</v>
      </c>
      <c r="B73" s="507" t="s">
        <v>933</v>
      </c>
      <c r="C73" s="125" t="s">
        <v>876</v>
      </c>
      <c r="D73" s="185">
        <v>0</v>
      </c>
      <c r="E73" s="186">
        <v>0</v>
      </c>
      <c r="F73" s="185">
        <v>0</v>
      </c>
      <c r="G73" s="191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6">
        <v>0</v>
      </c>
      <c r="O73" s="184">
        <v>0</v>
      </c>
      <c r="P73" s="184">
        <v>0</v>
      </c>
      <c r="Q73" s="184">
        <f t="shared" ref="Q73:Q85" si="51">F73-H73</f>
        <v>0</v>
      </c>
      <c r="R73" s="113">
        <f t="shared" si="7"/>
        <v>0</v>
      </c>
      <c r="S73" s="150" t="e">
        <f t="shared" si="4"/>
        <v>#DIV/0!</v>
      </c>
      <c r="T73" s="167"/>
    </row>
    <row r="74" spans="1:20" customFormat="1" ht="63" hidden="1">
      <c r="A74" s="146" t="s">
        <v>445</v>
      </c>
      <c r="B74" s="507" t="s">
        <v>934</v>
      </c>
      <c r="C74" s="125" t="s">
        <v>876</v>
      </c>
      <c r="D74" s="185">
        <v>0</v>
      </c>
      <c r="E74" s="186">
        <v>0</v>
      </c>
      <c r="F74" s="185">
        <v>0</v>
      </c>
      <c r="G74" s="191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6">
        <v>0</v>
      </c>
      <c r="O74" s="184">
        <v>0</v>
      </c>
      <c r="P74" s="184">
        <v>0</v>
      </c>
      <c r="Q74" s="184">
        <f t="shared" si="51"/>
        <v>0</v>
      </c>
      <c r="R74" s="113">
        <f t="shared" ref="R74:R92" si="52">G74-H74</f>
        <v>0</v>
      </c>
      <c r="S74" s="150" t="e">
        <f t="shared" ref="S74:S92" si="53">H74/G74*100</f>
        <v>#DIV/0!</v>
      </c>
      <c r="T74" s="167"/>
    </row>
    <row r="75" spans="1:20" customFormat="1" ht="63" hidden="1">
      <c r="A75" s="146" t="s">
        <v>935</v>
      </c>
      <c r="B75" s="507" t="s">
        <v>936</v>
      </c>
      <c r="C75" s="125" t="s">
        <v>876</v>
      </c>
      <c r="D75" s="185">
        <v>0</v>
      </c>
      <c r="E75" s="186">
        <v>0</v>
      </c>
      <c r="F75" s="185">
        <v>0</v>
      </c>
      <c r="G75" s="191">
        <v>0</v>
      </c>
      <c r="H75" s="184">
        <v>0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6">
        <v>0</v>
      </c>
      <c r="O75" s="184">
        <v>0</v>
      </c>
      <c r="P75" s="184">
        <v>0</v>
      </c>
      <c r="Q75" s="184">
        <f t="shared" si="51"/>
        <v>0</v>
      </c>
      <c r="R75" s="113">
        <f t="shared" si="52"/>
        <v>0</v>
      </c>
      <c r="S75" s="150" t="e">
        <f t="shared" si="53"/>
        <v>#DIV/0!</v>
      </c>
      <c r="T75" s="167"/>
    </row>
    <row r="76" spans="1:20" customFormat="1" ht="63" hidden="1">
      <c r="A76" s="118" t="s">
        <v>937</v>
      </c>
      <c r="B76" s="507" t="s">
        <v>938</v>
      </c>
      <c r="C76" s="125" t="s">
        <v>876</v>
      </c>
      <c r="D76" s="185">
        <v>4.5561334000000002</v>
      </c>
      <c r="E76" s="186">
        <v>0</v>
      </c>
      <c r="F76" s="191">
        <v>0</v>
      </c>
      <c r="G76" s="191">
        <v>0</v>
      </c>
      <c r="H76" s="184">
        <f t="shared" ref="H76:L76" si="54">H77+H78</f>
        <v>0</v>
      </c>
      <c r="I76" s="184">
        <f t="shared" si="54"/>
        <v>0</v>
      </c>
      <c r="J76" s="184">
        <f t="shared" si="54"/>
        <v>0</v>
      </c>
      <c r="K76" s="184">
        <f t="shared" si="54"/>
        <v>0</v>
      </c>
      <c r="L76" s="184">
        <f t="shared" si="54"/>
        <v>0</v>
      </c>
      <c r="M76" s="184">
        <f>M77+M78</f>
        <v>0</v>
      </c>
      <c r="N76" s="186">
        <f>N77+N78</f>
        <v>0</v>
      </c>
      <c r="O76" s="184">
        <f>O77+O78</f>
        <v>0</v>
      </c>
      <c r="P76" s="184">
        <f>P77+P78</f>
        <v>0</v>
      </c>
      <c r="Q76" s="184">
        <f t="shared" si="51"/>
        <v>0</v>
      </c>
      <c r="R76" s="113">
        <f t="shared" si="52"/>
        <v>0</v>
      </c>
      <c r="S76" s="150" t="e">
        <f t="shared" si="53"/>
        <v>#DIV/0!</v>
      </c>
      <c r="T76" s="167"/>
    </row>
    <row r="77" spans="1:20" customFormat="1" ht="31.5" hidden="1">
      <c r="A77" s="146" t="s">
        <v>939</v>
      </c>
      <c r="B77" s="507" t="s">
        <v>940</v>
      </c>
      <c r="C77" s="138" t="s">
        <v>876</v>
      </c>
      <c r="D77" s="194">
        <v>4.5561334000000002</v>
      </c>
      <c r="E77" s="186">
        <v>0</v>
      </c>
      <c r="F77" s="19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6">
        <v>0</v>
      </c>
      <c r="O77" s="184">
        <v>0</v>
      </c>
      <c r="P77" s="184">
        <v>0</v>
      </c>
      <c r="Q77" s="184">
        <f t="shared" si="51"/>
        <v>0</v>
      </c>
      <c r="R77" s="113">
        <f t="shared" si="52"/>
        <v>0</v>
      </c>
      <c r="S77" s="150" t="e">
        <f t="shared" si="53"/>
        <v>#DIV/0!</v>
      </c>
      <c r="T77" s="167"/>
    </row>
    <row r="78" spans="1:20" customFormat="1" ht="47.25" hidden="1">
      <c r="A78" s="146" t="s">
        <v>941</v>
      </c>
      <c r="B78" s="507" t="s">
        <v>942</v>
      </c>
      <c r="C78" s="125" t="s">
        <v>876</v>
      </c>
      <c r="D78" s="185">
        <v>0</v>
      </c>
      <c r="E78" s="186">
        <v>0</v>
      </c>
      <c r="F78" s="185">
        <v>0</v>
      </c>
      <c r="G78" s="191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6">
        <v>0</v>
      </c>
      <c r="O78" s="184">
        <v>0</v>
      </c>
      <c r="P78" s="184">
        <v>0</v>
      </c>
      <c r="Q78" s="184">
        <f t="shared" si="51"/>
        <v>0</v>
      </c>
      <c r="R78" s="113">
        <f t="shared" si="52"/>
        <v>0</v>
      </c>
      <c r="S78" s="150" t="e">
        <f t="shared" si="53"/>
        <v>#DIV/0!</v>
      </c>
      <c r="T78" s="167"/>
    </row>
    <row r="79" spans="1:20" ht="113.25" customHeight="1">
      <c r="A79" s="118" t="s">
        <v>943</v>
      </c>
      <c r="B79" s="507" t="s">
        <v>944</v>
      </c>
      <c r="C79" s="538" t="s">
        <v>876</v>
      </c>
      <c r="D79" s="195">
        <v>0</v>
      </c>
      <c r="E79" s="186">
        <v>0</v>
      </c>
      <c r="F79" s="195">
        <v>0</v>
      </c>
      <c r="G79" s="519">
        <f t="shared" ref="G79:P79" si="55">G80+G81</f>
        <v>0</v>
      </c>
      <c r="H79" s="519">
        <f t="shared" si="55"/>
        <v>0</v>
      </c>
      <c r="I79" s="184">
        <f t="shared" si="55"/>
        <v>0</v>
      </c>
      <c r="J79" s="184">
        <f t="shared" si="55"/>
        <v>0</v>
      </c>
      <c r="K79" s="184">
        <f t="shared" si="55"/>
        <v>0</v>
      </c>
      <c r="L79" s="184">
        <f t="shared" si="55"/>
        <v>0</v>
      </c>
      <c r="M79" s="184">
        <f t="shared" si="55"/>
        <v>0</v>
      </c>
      <c r="N79" s="186">
        <f t="shared" si="55"/>
        <v>0</v>
      </c>
      <c r="O79" s="184">
        <f t="shared" si="55"/>
        <v>0</v>
      </c>
      <c r="P79" s="184">
        <f t="shared" si="55"/>
        <v>0</v>
      </c>
      <c r="Q79" s="519">
        <f t="shared" si="51"/>
        <v>0</v>
      </c>
      <c r="R79" s="579">
        <f t="shared" si="52"/>
        <v>0</v>
      </c>
      <c r="S79" s="539" t="e">
        <f t="shared" si="53"/>
        <v>#DIV/0!</v>
      </c>
      <c r="T79" s="168"/>
    </row>
    <row r="80" spans="1:20" customFormat="1" ht="78.75" hidden="1">
      <c r="A80" s="118" t="s">
        <v>945</v>
      </c>
      <c r="B80" s="507" t="s">
        <v>946</v>
      </c>
      <c r="C80" s="125" t="s">
        <v>876</v>
      </c>
      <c r="D80" s="185">
        <v>0</v>
      </c>
      <c r="E80" s="186">
        <v>0</v>
      </c>
      <c r="F80" s="185">
        <v>0</v>
      </c>
      <c r="G80" s="191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6">
        <v>0</v>
      </c>
      <c r="O80" s="184">
        <v>0</v>
      </c>
      <c r="P80" s="184">
        <v>0</v>
      </c>
      <c r="Q80" s="184">
        <f t="shared" si="51"/>
        <v>0</v>
      </c>
      <c r="R80" s="113">
        <f t="shared" si="52"/>
        <v>0</v>
      </c>
      <c r="S80" s="150" t="e">
        <f t="shared" si="53"/>
        <v>#DIV/0!</v>
      </c>
      <c r="T80" s="167"/>
    </row>
    <row r="81" spans="1:20" customFormat="1" ht="78.75" hidden="1">
      <c r="A81" s="118" t="s">
        <v>947</v>
      </c>
      <c r="B81" s="507" t="s">
        <v>948</v>
      </c>
      <c r="C81" s="125" t="s">
        <v>876</v>
      </c>
      <c r="D81" s="185">
        <v>0</v>
      </c>
      <c r="E81" s="186">
        <v>0</v>
      </c>
      <c r="F81" s="185">
        <v>0</v>
      </c>
      <c r="G81" s="191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6">
        <v>0</v>
      </c>
      <c r="O81" s="184">
        <v>0</v>
      </c>
      <c r="P81" s="184">
        <v>0</v>
      </c>
      <c r="Q81" s="184">
        <f t="shared" si="51"/>
        <v>0</v>
      </c>
      <c r="R81" s="113">
        <f t="shared" si="52"/>
        <v>0</v>
      </c>
      <c r="S81" s="150" t="e">
        <f t="shared" si="53"/>
        <v>#DIV/0!</v>
      </c>
      <c r="T81" s="167"/>
    </row>
    <row r="82" spans="1:20" s="572" customFormat="1" ht="31.5">
      <c r="A82" s="118" t="s">
        <v>949</v>
      </c>
      <c r="B82" s="507" t="s">
        <v>884</v>
      </c>
      <c r="C82" s="567" t="s">
        <v>876</v>
      </c>
      <c r="D82" s="195">
        <f>D83+D84</f>
        <v>2.2919375999999998</v>
      </c>
      <c r="E82" s="186">
        <f>E83+E84</f>
        <v>0.5</v>
      </c>
      <c r="F82" s="195">
        <f>F83+F84</f>
        <v>1.7919376</v>
      </c>
      <c r="G82" s="195">
        <f>G83+G84</f>
        <v>1.7919376000000002</v>
      </c>
      <c r="H82" s="195">
        <f>H83+H84</f>
        <v>1.7919376000000002</v>
      </c>
      <c r="I82" s="195">
        <f t="shared" ref="I82:O82" si="56">I83+I84</f>
        <v>0</v>
      </c>
      <c r="J82" s="195">
        <f t="shared" si="56"/>
        <v>1.7919376000000002</v>
      </c>
      <c r="K82" s="195">
        <f t="shared" si="56"/>
        <v>0</v>
      </c>
      <c r="L82" s="195">
        <f t="shared" si="56"/>
        <v>0</v>
      </c>
      <c r="M82" s="187">
        <f t="shared" si="56"/>
        <v>0</v>
      </c>
      <c r="N82" s="195">
        <f t="shared" si="56"/>
        <v>0</v>
      </c>
      <c r="O82" s="187">
        <f t="shared" si="56"/>
        <v>0</v>
      </c>
      <c r="P82" s="187">
        <f>P83+P84</f>
        <v>0</v>
      </c>
      <c r="Q82" s="195">
        <f>Q83+Q84</f>
        <v>0</v>
      </c>
      <c r="R82" s="195">
        <f>R83+R84</f>
        <v>0</v>
      </c>
      <c r="S82" s="539">
        <f t="shared" si="53"/>
        <v>100</v>
      </c>
      <c r="T82" s="562"/>
    </row>
    <row r="83" spans="1:20" ht="63">
      <c r="A83" s="171" t="s">
        <v>843</v>
      </c>
      <c r="B83" s="147" t="s">
        <v>1072</v>
      </c>
      <c r="C83" s="130" t="s">
        <v>1088</v>
      </c>
      <c r="D83" s="577">
        <f>(0.5+0.6216254)</f>
        <v>1.1216254000000001</v>
      </c>
      <c r="E83" s="186">
        <v>0</v>
      </c>
      <c r="F83" s="192">
        <f>D83-E83</f>
        <v>1.1216254000000001</v>
      </c>
      <c r="G83" s="193">
        <f>1.1216254</f>
        <v>1.1216254000000001</v>
      </c>
      <c r="H83" s="186">
        <f>J83+L83+N83+P83</f>
        <v>1.1216254000000001</v>
      </c>
      <c r="I83" s="186">
        <v>0</v>
      </c>
      <c r="J83" s="186">
        <f>0.5+0.6216254</f>
        <v>1.1216254000000001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86">
        <v>0</v>
      </c>
      <c r="Q83" s="186">
        <v>0</v>
      </c>
      <c r="R83" s="190">
        <f t="shared" si="52"/>
        <v>0</v>
      </c>
      <c r="S83" s="539">
        <f t="shared" si="53"/>
        <v>100</v>
      </c>
      <c r="T83" s="602" t="s">
        <v>1195</v>
      </c>
    </row>
    <row r="84" spans="1:20" ht="47.25">
      <c r="A84" s="171" t="s">
        <v>844</v>
      </c>
      <c r="B84" s="147" t="s">
        <v>1073</v>
      </c>
      <c r="C84" s="130" t="s">
        <v>1087</v>
      </c>
      <c r="D84" s="577">
        <v>1.1703121999999999</v>
      </c>
      <c r="E84" s="186">
        <v>0.5</v>
      </c>
      <c r="F84" s="192">
        <f>D84-E84</f>
        <v>0.67031219999999991</v>
      </c>
      <c r="G84" s="193">
        <f>0.6703122</f>
        <v>0.67031220000000002</v>
      </c>
      <c r="H84" s="186">
        <f>J84+L84+N84+P84</f>
        <v>0.67031220000000002</v>
      </c>
      <c r="I84" s="186">
        <v>0</v>
      </c>
      <c r="J84" s="186">
        <f>0.5+0.1703122</f>
        <v>0.67031220000000002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186">
        <v>0</v>
      </c>
      <c r="R84" s="190">
        <f t="shared" si="52"/>
        <v>0</v>
      </c>
      <c r="S84" s="539">
        <f t="shared" si="53"/>
        <v>100</v>
      </c>
      <c r="T84" s="602" t="s">
        <v>1195</v>
      </c>
    </row>
    <row r="85" spans="1:20" ht="47.25">
      <c r="A85" s="118" t="s">
        <v>950</v>
      </c>
      <c r="B85" s="507" t="s">
        <v>951</v>
      </c>
      <c r="C85" s="567" t="s">
        <v>876</v>
      </c>
      <c r="D85" s="195">
        <v>0</v>
      </c>
      <c r="E85" s="186">
        <v>0</v>
      </c>
      <c r="F85" s="195">
        <v>0</v>
      </c>
      <c r="G85" s="552">
        <v>0</v>
      </c>
      <c r="H85" s="519">
        <v>0</v>
      </c>
      <c r="I85" s="184">
        <v>0</v>
      </c>
      <c r="J85" s="184">
        <v>0</v>
      </c>
      <c r="K85" s="184">
        <v>0</v>
      </c>
      <c r="L85" s="184">
        <v>0</v>
      </c>
      <c r="M85" s="184">
        <v>0</v>
      </c>
      <c r="N85" s="186">
        <v>0</v>
      </c>
      <c r="O85" s="184">
        <v>0</v>
      </c>
      <c r="P85" s="184">
        <v>0</v>
      </c>
      <c r="Q85" s="519">
        <f t="shared" si="51"/>
        <v>0</v>
      </c>
      <c r="R85" s="579">
        <f t="shared" si="52"/>
        <v>0</v>
      </c>
      <c r="S85" s="573" t="e">
        <f t="shared" si="53"/>
        <v>#DIV/0!</v>
      </c>
      <c r="T85" s="168"/>
    </row>
    <row r="86" spans="1:20" ht="15.75">
      <c r="A86" s="118" t="s">
        <v>952</v>
      </c>
      <c r="B86" s="507" t="s">
        <v>954</v>
      </c>
      <c r="C86" s="567" t="s">
        <v>876</v>
      </c>
      <c r="D86" s="552">
        <f>D87+D88</f>
        <v>23.857309000000001</v>
      </c>
      <c r="E86" s="186">
        <f t="shared" ref="E86" si="57">E87+E88</f>
        <v>11.627817127</v>
      </c>
      <c r="F86" s="552">
        <f>F87+F88</f>
        <v>12.229491873000001</v>
      </c>
      <c r="G86" s="519">
        <f>G87+G88</f>
        <v>8.9344798730000008</v>
      </c>
      <c r="H86" s="519">
        <f>H87+H88</f>
        <v>8.9344798730000008</v>
      </c>
      <c r="I86" s="184">
        <f t="shared" ref="I86:O86" si="58">I87+I88</f>
        <v>4.0179252930000002</v>
      </c>
      <c r="J86" s="184">
        <f t="shared" si="58"/>
        <v>3.7414932930000004</v>
      </c>
      <c r="K86" s="184">
        <f t="shared" si="58"/>
        <v>2.9479252899999997</v>
      </c>
      <c r="L86" s="184">
        <f>L87+L88</f>
        <v>2.6714932899999999</v>
      </c>
      <c r="M86" s="184">
        <f t="shared" si="58"/>
        <v>1.89249329</v>
      </c>
      <c r="N86" s="186">
        <f t="shared" si="58"/>
        <v>1.6164932900000002</v>
      </c>
      <c r="O86" s="184">
        <f t="shared" si="58"/>
        <v>1.181</v>
      </c>
      <c r="P86" s="184">
        <f>P87+P88</f>
        <v>0.90500000000000003</v>
      </c>
      <c r="Q86" s="519">
        <v>0</v>
      </c>
      <c r="R86" s="579">
        <f t="shared" si="52"/>
        <v>0</v>
      </c>
      <c r="S86" s="568">
        <f t="shared" si="53"/>
        <v>100</v>
      </c>
      <c r="T86" s="168"/>
    </row>
    <row r="87" spans="1:20" ht="47.25">
      <c r="A87" s="137" t="s">
        <v>955</v>
      </c>
      <c r="B87" s="129" t="s">
        <v>956</v>
      </c>
      <c r="C87" s="121" t="s">
        <v>957</v>
      </c>
      <c r="D87" s="192">
        <v>5.436909</v>
      </c>
      <c r="E87" s="186">
        <f>D87-F87</f>
        <v>4.6074291269999996</v>
      </c>
      <c r="F87" s="193">
        <f>G87</f>
        <v>0.82947987300000003</v>
      </c>
      <c r="G87" s="186">
        <f>I87+K87+M87+O87</f>
        <v>0.82947987300000003</v>
      </c>
      <c r="H87" s="186">
        <f>J87+L87+N87+P87</f>
        <v>0.82947987300000003</v>
      </c>
      <c r="I87" s="184">
        <f>0.07810545*3*1.18</f>
        <v>0.27649329299999997</v>
      </c>
      <c r="J87" s="184">
        <f>0.07810545*3*1.18</f>
        <v>0.27649329299999997</v>
      </c>
      <c r="K87" s="184">
        <f>92164.43*3/1000000</f>
        <v>0.27649329</v>
      </c>
      <c r="L87" s="184">
        <f>92164.43*3/1000000</f>
        <v>0.27649329</v>
      </c>
      <c r="M87" s="186">
        <f>92164.43*3/1000000</f>
        <v>0.27649329</v>
      </c>
      <c r="N87" s="186">
        <f>92164.43*3/1000000</f>
        <v>0.27649329</v>
      </c>
      <c r="O87" s="184">
        <v>0</v>
      </c>
      <c r="P87" s="184">
        <v>0</v>
      </c>
      <c r="Q87" s="186">
        <v>0</v>
      </c>
      <c r="R87" s="190">
        <f t="shared" si="52"/>
        <v>0</v>
      </c>
      <c r="S87" s="564">
        <f t="shared" si="53"/>
        <v>100</v>
      </c>
      <c r="T87" s="168"/>
    </row>
    <row r="88" spans="1:20" ht="47.25">
      <c r="A88" s="137" t="s">
        <v>958</v>
      </c>
      <c r="B88" s="129" t="s">
        <v>959</v>
      </c>
      <c r="C88" s="121" t="s">
        <v>876</v>
      </c>
      <c r="D88" s="192">
        <f>SUM(D89:D92)</f>
        <v>18.420400000000001</v>
      </c>
      <c r="E88" s="186">
        <f>SUM(E89:E92)</f>
        <v>7.0203879999999996</v>
      </c>
      <c r="F88" s="193">
        <f>SUM(F89:F92)</f>
        <v>11.400012</v>
      </c>
      <c r="G88" s="186">
        <f>SUM(G89:G92)</f>
        <v>8.1050000000000004</v>
      </c>
      <c r="H88" s="186">
        <f>H89+H90+H91+H92</f>
        <v>8.1050000000000004</v>
      </c>
      <c r="I88" s="184">
        <f t="shared" ref="I88:O88" si="59">I89+I90+I91+I92</f>
        <v>3.7414320000000005</v>
      </c>
      <c r="J88" s="184">
        <f t="shared" si="59"/>
        <v>3.4650000000000003</v>
      </c>
      <c r="K88" s="184">
        <f t="shared" si="59"/>
        <v>2.6714319999999998</v>
      </c>
      <c r="L88" s="184">
        <f t="shared" si="59"/>
        <v>2.395</v>
      </c>
      <c r="M88" s="184">
        <f t="shared" si="59"/>
        <v>1.6159999999999999</v>
      </c>
      <c r="N88" s="186">
        <f t="shared" si="59"/>
        <v>1.34</v>
      </c>
      <c r="O88" s="184">
        <f t="shared" si="59"/>
        <v>1.181</v>
      </c>
      <c r="P88" s="184">
        <f>P89+P90+P91+P92</f>
        <v>0.90500000000000003</v>
      </c>
      <c r="Q88" s="186">
        <v>0</v>
      </c>
      <c r="R88" s="190">
        <f t="shared" si="52"/>
        <v>0</v>
      </c>
      <c r="S88" s="564">
        <f t="shared" si="53"/>
        <v>100</v>
      </c>
      <c r="T88" s="168"/>
    </row>
    <row r="89" spans="1:20" ht="47.25">
      <c r="A89" s="137" t="s">
        <v>960</v>
      </c>
      <c r="B89" s="129" t="s">
        <v>961</v>
      </c>
      <c r="C89" s="121" t="s">
        <v>962</v>
      </c>
      <c r="D89" s="192">
        <v>4.1219999999999999</v>
      </c>
      <c r="E89" s="186">
        <f>(619990+190000+150000+120000+85000+85000+79000)/1000000+0.075*3</f>
        <v>1.5539899999999998</v>
      </c>
      <c r="F89" s="193">
        <f>G89+493010/1000000</f>
        <v>2.5680100000000001</v>
      </c>
      <c r="G89" s="193">
        <f>(0.59+0.385+0.22+0.13+0.1*4+0.09*3+0.08)</f>
        <v>2.0750000000000002</v>
      </c>
      <c r="H89" s="186">
        <f t="shared" ref="H89:H91" si="60">J89+L89+N89+P89</f>
        <v>2.0750000000000002</v>
      </c>
      <c r="I89" s="184">
        <f>(0.59+0.385+0.22+0.022629*3)</f>
        <v>1.2628870000000001</v>
      </c>
      <c r="J89" s="184">
        <f>(0.59+0.385+0.22)</f>
        <v>1.1950000000000001</v>
      </c>
      <c r="K89" s="184">
        <f>0.13+0.1+0.1+0.022629*3</f>
        <v>0.39788699999999999</v>
      </c>
      <c r="L89" s="184">
        <f>(130000+100000*2)/1000000</f>
        <v>0.33</v>
      </c>
      <c r="M89" s="184">
        <v>0.35799999999999998</v>
      </c>
      <c r="N89" s="186">
        <f>(100000+100000+90000)/1000000</f>
        <v>0.28999999999999998</v>
      </c>
      <c r="O89" s="184">
        <v>0.32800000000000001</v>
      </c>
      <c r="P89" s="184">
        <f>(90000+90000+80000)/1000000</f>
        <v>0.26</v>
      </c>
      <c r="Q89" s="186">
        <v>0</v>
      </c>
      <c r="R89" s="190">
        <f>G89-H89</f>
        <v>0</v>
      </c>
      <c r="S89" s="564">
        <f t="shared" si="53"/>
        <v>100</v>
      </c>
      <c r="T89" s="168"/>
    </row>
    <row r="90" spans="1:20" ht="47.25">
      <c r="A90" s="137" t="s">
        <v>963</v>
      </c>
      <c r="B90" s="129" t="s">
        <v>964</v>
      </c>
      <c r="C90" s="121" t="s">
        <v>965</v>
      </c>
      <c r="D90" s="192">
        <v>0.86419999999999997</v>
      </c>
      <c r="E90" s="186">
        <f>320998/1000000</f>
        <v>0.32099800000000001</v>
      </c>
      <c r="F90" s="193">
        <f>G90+98202/1000000</f>
        <v>0.54320199999999996</v>
      </c>
      <c r="G90" s="193">
        <f>(0.129+0.065+0.056+0.04+0.035+0.02*3+0.015*4)</f>
        <v>0.44499999999999995</v>
      </c>
      <c r="H90" s="186">
        <f t="shared" si="60"/>
        <v>0.44499999999999995</v>
      </c>
      <c r="I90" s="184">
        <f>0.129+0.065+0.056+0.004481*3</f>
        <v>0.26344299999999998</v>
      </c>
      <c r="J90" s="184">
        <f>(0.129+0.065+0.056)</f>
        <v>0.25</v>
      </c>
      <c r="K90" s="184">
        <f>0.04+0.035+0.02+0.004481*3</f>
        <v>0.10844300000000001</v>
      </c>
      <c r="L90" s="184">
        <f>(40000+35000+20000)/1000000</f>
        <v>9.5000000000000001E-2</v>
      </c>
      <c r="M90" s="184">
        <v>6.8000000000000005E-2</v>
      </c>
      <c r="N90" s="186">
        <f>(20000+20000+15000)/1000000</f>
        <v>5.5E-2</v>
      </c>
      <c r="O90" s="184">
        <v>5.8000000000000003E-2</v>
      </c>
      <c r="P90" s="184">
        <f>(15000+15000+15000)/1000000</f>
        <v>4.4999999999999998E-2</v>
      </c>
      <c r="Q90" s="186">
        <v>0</v>
      </c>
      <c r="R90" s="190">
        <f t="shared" si="52"/>
        <v>0</v>
      </c>
      <c r="S90" s="564">
        <f t="shared" si="53"/>
        <v>100</v>
      </c>
      <c r="T90" s="168"/>
    </row>
    <row r="91" spans="1:20" ht="47.25">
      <c r="A91" s="137" t="s">
        <v>966</v>
      </c>
      <c r="B91" s="129" t="s">
        <v>967</v>
      </c>
      <c r="C91" s="121" t="s">
        <v>968</v>
      </c>
      <c r="D91" s="192">
        <v>9.2059999999999995</v>
      </c>
      <c r="E91" s="186">
        <v>3.6343999999999999</v>
      </c>
      <c r="F91" s="193">
        <f>G91+1576600/1000000</f>
        <v>5.5716000000000001</v>
      </c>
      <c r="G91" s="193">
        <f>(0.5*6+0.295+0.25+0.15+0.1*3)</f>
        <v>3.9950000000000001</v>
      </c>
      <c r="H91" s="186">
        <f t="shared" si="60"/>
        <v>3.9949999999999997</v>
      </c>
      <c r="I91" s="184">
        <f>0.5*3+0.045324*3</f>
        <v>1.635972</v>
      </c>
      <c r="J91" s="184">
        <f>0.5*3</f>
        <v>1.5</v>
      </c>
      <c r="K91" s="184">
        <f>0.5*3+0.045324*3</f>
        <v>1.635972</v>
      </c>
      <c r="L91" s="184">
        <f>500000*3/1000000</f>
        <v>1.5</v>
      </c>
      <c r="M91" s="184">
        <v>0.83099999999999996</v>
      </c>
      <c r="N91" s="186">
        <f>(295000+150000+250000)/1000000</f>
        <v>0.69499999999999995</v>
      </c>
      <c r="O91" s="184">
        <v>0.436</v>
      </c>
      <c r="P91" s="184">
        <f>(100000+100000+100000)/1000000</f>
        <v>0.3</v>
      </c>
      <c r="Q91" s="186">
        <v>0</v>
      </c>
      <c r="R91" s="190">
        <f t="shared" si="52"/>
        <v>0</v>
      </c>
      <c r="S91" s="564">
        <f t="shared" si="53"/>
        <v>99.999999999999986</v>
      </c>
      <c r="T91" s="168"/>
    </row>
    <row r="92" spans="1:20" ht="47.25" customHeight="1">
      <c r="A92" s="137" t="s">
        <v>969</v>
      </c>
      <c r="B92" s="129" t="s">
        <v>970</v>
      </c>
      <c r="C92" s="121" t="s">
        <v>971</v>
      </c>
      <c r="D92" s="192">
        <v>4.2282000000000002</v>
      </c>
      <c r="E92" s="186">
        <v>1.5110000000000001</v>
      </c>
      <c r="F92" s="193">
        <f>G92+1127200/1000000</f>
        <v>2.7172000000000001</v>
      </c>
      <c r="G92" s="193">
        <f>(0.175*2+0.17*2+0.15*2+0.1*6)</f>
        <v>1.59</v>
      </c>
      <c r="H92" s="186">
        <f>J92+L92+N92+P92</f>
        <v>1.59</v>
      </c>
      <c r="I92" s="184">
        <f>0.175*2+0.17+0.01971*3</f>
        <v>0.57913000000000003</v>
      </c>
      <c r="J92" s="184">
        <f>0.175*2+0.17</f>
        <v>0.52</v>
      </c>
      <c r="K92" s="184">
        <f>0.17+0.15*2+0.01971*3</f>
        <v>0.52912999999999999</v>
      </c>
      <c r="L92" s="184">
        <f>(170000+150000*2)/1000000</f>
        <v>0.47</v>
      </c>
      <c r="M92" s="184">
        <v>0.35899999999999999</v>
      </c>
      <c r="N92" s="186">
        <f>(100000+100000+100000)/1000000</f>
        <v>0.3</v>
      </c>
      <c r="O92" s="184">
        <v>0.35899999999999999</v>
      </c>
      <c r="P92" s="184">
        <f>(100000+100000+100000)/1000000</f>
        <v>0.3</v>
      </c>
      <c r="Q92" s="186">
        <v>0</v>
      </c>
      <c r="R92" s="190">
        <f t="shared" si="52"/>
        <v>0</v>
      </c>
      <c r="S92" s="564">
        <f t="shared" si="53"/>
        <v>100</v>
      </c>
      <c r="T92" s="168"/>
    </row>
    <row r="93" spans="1:20" s="572" customFormat="1" ht="15.75">
      <c r="A93" s="687" t="s">
        <v>21</v>
      </c>
      <c r="B93" s="687"/>
      <c r="C93" s="687"/>
      <c r="D93" s="519">
        <f t="shared" ref="D93:R93" si="61">D22</f>
        <v>44.607398995601798</v>
      </c>
      <c r="E93" s="186">
        <f t="shared" si="61"/>
        <v>14.088660727000001</v>
      </c>
      <c r="F93" s="519">
        <f t="shared" si="61"/>
        <v>30.518731277201798</v>
      </c>
      <c r="G93" s="519">
        <f t="shared" si="61"/>
        <v>27.223721273001797</v>
      </c>
      <c r="H93" s="519">
        <f t="shared" si="61"/>
        <v>19.704213827400004</v>
      </c>
      <c r="I93" s="182">
        <f t="shared" si="61"/>
        <v>0</v>
      </c>
      <c r="J93" s="182">
        <f t="shared" si="61"/>
        <v>5.0430417300000006</v>
      </c>
      <c r="K93" s="182">
        <f t="shared" si="61"/>
        <v>0</v>
      </c>
      <c r="L93" s="182">
        <f t="shared" si="61"/>
        <v>2.0233457600000002</v>
      </c>
      <c r="M93" s="182">
        <f t="shared" si="61"/>
        <v>0</v>
      </c>
      <c r="N93" s="519">
        <f t="shared" si="61"/>
        <v>0.57128311440000012</v>
      </c>
      <c r="O93" s="182">
        <f t="shared" si="61"/>
        <v>3.0693599999999996</v>
      </c>
      <c r="P93" s="182">
        <f t="shared" si="61"/>
        <v>3.1320633500000001</v>
      </c>
      <c r="Q93" s="579">
        <f t="shared" si="61"/>
        <v>7.5195054498017964</v>
      </c>
      <c r="R93" s="579">
        <f t="shared" si="61"/>
        <v>7.5195074456017963</v>
      </c>
      <c r="S93" s="568">
        <f>H93/G93*100</f>
        <v>72.378840606706447</v>
      </c>
      <c r="T93" s="587"/>
    </row>
  </sheetData>
  <autoFilter ref="A21:T93">
    <filterColumn colId="13">
      <filters>
        <filter val="0.005"/>
        <filter val="0.027"/>
        <filter val="0.040"/>
        <filter val="0.052"/>
        <filter val="0.055"/>
        <filter val="0.145"/>
        <filter val="0.151"/>
        <filter val="0.242"/>
        <filter val="0.276"/>
        <filter val="0.290"/>
        <filter val="0.300"/>
        <filter val="0.373"/>
        <filter val="0.695"/>
        <filter val="0.811"/>
        <filter val="0.963"/>
        <filter val="1.340"/>
        <filter val="1.616"/>
        <filter val="2.579"/>
      </filters>
    </filterColumn>
  </autoFilter>
  <mergeCells count="26">
    <mergeCell ref="A7:T7"/>
    <mergeCell ref="A6:T6"/>
    <mergeCell ref="A16:M16"/>
    <mergeCell ref="T18:T20"/>
    <mergeCell ref="G19:H19"/>
    <mergeCell ref="I19:J19"/>
    <mergeCell ref="K19:L19"/>
    <mergeCell ref="M19:N19"/>
    <mergeCell ref="O19:P19"/>
    <mergeCell ref="R19:R20"/>
    <mergeCell ref="S19:S20"/>
    <mergeCell ref="A15:T15"/>
    <mergeCell ref="A14:T14"/>
    <mergeCell ref="A12:T12"/>
    <mergeCell ref="A10:T10"/>
    <mergeCell ref="A8:T8"/>
    <mergeCell ref="A93:C93"/>
    <mergeCell ref="G18:P18"/>
    <mergeCell ref="Q18:Q20"/>
    <mergeCell ref="R18:S18"/>
    <mergeCell ref="A18:A20"/>
    <mergeCell ref="B18:B20"/>
    <mergeCell ref="C18:C20"/>
    <mergeCell ref="D18:D20"/>
    <mergeCell ref="E18:E20"/>
    <mergeCell ref="F18:F20"/>
  </mergeCells>
  <pageMargins left="0.21" right="0.2" top="0.2" bottom="0.2" header="0.31496062992125984" footer="0.31496062992125984"/>
  <pageSetup paperSize="9" scale="32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Y111"/>
  <sheetViews>
    <sheetView zoomScale="60" zoomScaleNormal="60" workbookViewId="0">
      <pane ySplit="21" topLeftCell="A22" activePane="bottomLeft" state="frozen"/>
      <selection pane="bottomLeft" activeCell="X53" sqref="X53"/>
    </sheetView>
  </sheetViews>
  <sheetFormatPr defaultRowHeight="15.75"/>
  <cols>
    <col min="1" max="1" width="14" style="57" customWidth="1"/>
    <col min="2" max="2" width="43.28515625" style="60" customWidth="1"/>
    <col min="3" max="3" width="19.140625" style="60" customWidth="1"/>
    <col min="4" max="4" width="23.5703125" style="60" customWidth="1"/>
    <col min="5" max="13" width="14.42578125" style="60" customWidth="1"/>
    <col min="14" max="23" width="18.7109375" style="60" customWidth="1"/>
    <col min="24" max="24" width="35.28515625" style="60" customWidth="1"/>
    <col min="25" max="25" width="9.140625" style="61"/>
  </cols>
  <sheetData>
    <row r="1" spans="1:25">
      <c r="T1" s="57" t="s">
        <v>490</v>
      </c>
    </row>
    <row r="2" spans="1:25">
      <c r="T2" s="57" t="s">
        <v>23</v>
      </c>
    </row>
    <row r="3" spans="1:25">
      <c r="T3" s="57" t="s">
        <v>24</v>
      </c>
    </row>
    <row r="4" spans="1:25" ht="12" customHeight="1">
      <c r="A4" s="699" t="s">
        <v>491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</row>
    <row r="5" spans="1:25">
      <c r="A5" s="699" t="s">
        <v>492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</row>
    <row r="6" spans="1:25">
      <c r="A6" s="699" t="s">
        <v>1188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</row>
    <row r="8" spans="1:25">
      <c r="A8" s="700" t="s">
        <v>727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</row>
    <row r="10" spans="1:25">
      <c r="A10" s="697" t="s">
        <v>725</v>
      </c>
      <c r="B10" s="697"/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7"/>
      <c r="U10" s="697"/>
      <c r="V10" s="697"/>
      <c r="W10" s="697"/>
      <c r="X10" s="697"/>
    </row>
    <row r="12" spans="1:25">
      <c r="A12" s="697" t="s">
        <v>34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</row>
    <row r="13" spans="1:25">
      <c r="A13" s="698" t="s">
        <v>1190</v>
      </c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</row>
    <row r="16" spans="1:25">
      <c r="A16" s="695" t="s">
        <v>0</v>
      </c>
      <c r="B16" s="695" t="s">
        <v>1</v>
      </c>
      <c r="C16" s="695" t="s">
        <v>2</v>
      </c>
      <c r="D16" s="695" t="s">
        <v>493</v>
      </c>
      <c r="E16" s="695"/>
      <c r="F16" s="695"/>
      <c r="G16" s="695"/>
      <c r="H16" s="695"/>
      <c r="I16" s="695"/>
      <c r="J16" s="695"/>
      <c r="K16" s="695"/>
      <c r="L16" s="695"/>
      <c r="M16" s="695"/>
      <c r="N16" s="695" t="s">
        <v>484</v>
      </c>
      <c r="O16" s="695"/>
      <c r="P16" s="695"/>
      <c r="Q16" s="695"/>
      <c r="R16" s="695"/>
      <c r="S16" s="695"/>
      <c r="T16" s="695"/>
      <c r="U16" s="695"/>
      <c r="V16" s="695"/>
      <c r="W16" s="695"/>
      <c r="X16" s="695" t="s">
        <v>10</v>
      </c>
      <c r="Y16" s="62"/>
    </row>
    <row r="17" spans="1:25">
      <c r="A17" s="695"/>
      <c r="B17" s="695"/>
      <c r="C17" s="695"/>
      <c r="D17" s="695" t="s">
        <v>731</v>
      </c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2"/>
    </row>
    <row r="18" spans="1:25">
      <c r="A18" s="695"/>
      <c r="B18" s="695"/>
      <c r="C18" s="695"/>
      <c r="D18" s="695" t="s">
        <v>11</v>
      </c>
      <c r="E18" s="695"/>
      <c r="F18" s="695"/>
      <c r="G18" s="695"/>
      <c r="H18" s="695"/>
      <c r="I18" s="695" t="s">
        <v>12</v>
      </c>
      <c r="J18" s="695"/>
      <c r="K18" s="695"/>
      <c r="L18" s="695"/>
      <c r="M18" s="695"/>
      <c r="N18" s="695" t="s">
        <v>13</v>
      </c>
      <c r="O18" s="695"/>
      <c r="P18" s="695" t="s">
        <v>14</v>
      </c>
      <c r="Q18" s="695"/>
      <c r="R18" s="695" t="s">
        <v>15</v>
      </c>
      <c r="S18" s="695"/>
      <c r="T18" s="695" t="s">
        <v>16</v>
      </c>
      <c r="U18" s="695"/>
      <c r="V18" s="695" t="s">
        <v>17</v>
      </c>
      <c r="W18" s="695"/>
      <c r="X18" s="695"/>
      <c r="Y18" s="62"/>
    </row>
    <row r="19" spans="1:25" ht="89.25" customHeight="1">
      <c r="A19" s="695"/>
      <c r="B19" s="695"/>
      <c r="C19" s="695"/>
      <c r="D19" s="695" t="s">
        <v>13</v>
      </c>
      <c r="E19" s="695" t="s">
        <v>14</v>
      </c>
      <c r="F19" s="695" t="s">
        <v>15</v>
      </c>
      <c r="G19" s="695" t="s">
        <v>16</v>
      </c>
      <c r="H19" s="695" t="s">
        <v>17</v>
      </c>
      <c r="I19" s="695" t="s">
        <v>18</v>
      </c>
      <c r="J19" s="695" t="s">
        <v>14</v>
      </c>
      <c r="K19" s="695" t="s">
        <v>15</v>
      </c>
      <c r="L19" s="695" t="s">
        <v>16</v>
      </c>
      <c r="M19" s="695" t="s">
        <v>17</v>
      </c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2"/>
    </row>
    <row r="20" spans="1:25" ht="87.75" customHeight="1">
      <c r="A20" s="695"/>
      <c r="B20" s="695"/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6" t="s">
        <v>19</v>
      </c>
      <c r="O20" s="66" t="s">
        <v>20</v>
      </c>
      <c r="P20" s="66" t="s">
        <v>19</v>
      </c>
      <c r="Q20" s="66" t="s">
        <v>20</v>
      </c>
      <c r="R20" s="66" t="s">
        <v>19</v>
      </c>
      <c r="S20" s="66" t="s">
        <v>20</v>
      </c>
      <c r="T20" s="66" t="s">
        <v>19</v>
      </c>
      <c r="U20" s="66" t="s">
        <v>20</v>
      </c>
      <c r="V20" s="66" t="s">
        <v>19</v>
      </c>
      <c r="W20" s="66" t="s">
        <v>20</v>
      </c>
      <c r="X20" s="695"/>
      <c r="Y20" s="62"/>
    </row>
    <row r="21" spans="1:25">
      <c r="A21" s="67">
        <v>1</v>
      </c>
      <c r="B21" s="67">
        <v>2</v>
      </c>
      <c r="C21" s="67">
        <v>3</v>
      </c>
      <c r="D21" s="67">
        <v>4</v>
      </c>
      <c r="E21" s="67">
        <v>5</v>
      </c>
      <c r="F21" s="67">
        <v>6</v>
      </c>
      <c r="G21" s="67">
        <v>7</v>
      </c>
      <c r="H21" s="67">
        <v>8</v>
      </c>
      <c r="I21" s="67">
        <v>9</v>
      </c>
      <c r="J21" s="67">
        <v>10</v>
      </c>
      <c r="K21" s="67">
        <v>11</v>
      </c>
      <c r="L21" s="67">
        <v>12</v>
      </c>
      <c r="M21" s="67">
        <v>13</v>
      </c>
      <c r="N21" s="67">
        <v>14</v>
      </c>
      <c r="O21" s="67">
        <v>15</v>
      </c>
      <c r="P21" s="67">
        <v>16</v>
      </c>
      <c r="Q21" s="67">
        <v>17</v>
      </c>
      <c r="R21" s="67">
        <v>18</v>
      </c>
      <c r="S21" s="67">
        <v>19</v>
      </c>
      <c r="T21" s="67">
        <v>20</v>
      </c>
      <c r="U21" s="67">
        <v>21</v>
      </c>
      <c r="V21" s="67">
        <v>22</v>
      </c>
      <c r="W21" s="67">
        <v>23</v>
      </c>
      <c r="X21" s="67">
        <v>24</v>
      </c>
      <c r="Y21" s="62"/>
    </row>
    <row r="22" spans="1:25" s="65" customFormat="1" ht="31.5">
      <c r="A22" s="196">
        <v>0</v>
      </c>
      <c r="B22" s="197" t="s">
        <v>21</v>
      </c>
      <c r="C22" s="198" t="s">
        <v>876</v>
      </c>
      <c r="D22" s="173">
        <f>SUM(D23:D28)</f>
        <v>27.223721273000002</v>
      </c>
      <c r="E22" s="143">
        <f>E23+E24+E25+E26+E27+E28</f>
        <v>0</v>
      </c>
      <c r="F22" s="143">
        <f t="shared" ref="F22:M22" si="0">F23+F24+F25+F26+F27+F28</f>
        <v>0</v>
      </c>
      <c r="G22" s="143">
        <f t="shared" si="0"/>
        <v>21.298983073000002</v>
      </c>
      <c r="H22" s="143">
        <f t="shared" si="0"/>
        <v>5.9247382000000002</v>
      </c>
      <c r="I22" s="143">
        <f t="shared" si="0"/>
        <v>19.704213827400004</v>
      </c>
      <c r="J22" s="143">
        <f t="shared" si="0"/>
        <v>0</v>
      </c>
      <c r="K22" s="143">
        <f t="shared" si="0"/>
        <v>0</v>
      </c>
      <c r="L22" s="143">
        <f>L23+L24+L25+L26+L27+L28</f>
        <v>19.704213827400004</v>
      </c>
      <c r="M22" s="143">
        <f t="shared" si="0"/>
        <v>0</v>
      </c>
      <c r="N22" s="143">
        <f>D22-I22</f>
        <v>7.5195074455999986</v>
      </c>
      <c r="O22" s="505">
        <f>I22/D22*100</f>
        <v>72.378840606711208</v>
      </c>
      <c r="P22" s="143">
        <f>E22-J22</f>
        <v>0</v>
      </c>
      <c r="Q22" s="215" t="s">
        <v>256</v>
      </c>
      <c r="R22" s="143">
        <f>F22-K22</f>
        <v>0</v>
      </c>
      <c r="S22" s="215" t="s">
        <v>256</v>
      </c>
      <c r="T22" s="143">
        <f>G22-L22</f>
        <v>1.5947692455999984</v>
      </c>
      <c r="U22" s="505">
        <f>L22/G22*100</f>
        <v>92.51246296532517</v>
      </c>
      <c r="V22" s="143">
        <f>H22-M22</f>
        <v>5.9247382000000002</v>
      </c>
      <c r="W22" s="504" t="s">
        <v>256</v>
      </c>
      <c r="X22" s="156">
        <f>'10'!T22</f>
        <v>0</v>
      </c>
      <c r="Y22" s="157"/>
    </row>
    <row r="23" spans="1:25">
      <c r="A23" s="196" t="s">
        <v>877</v>
      </c>
      <c r="B23" s="197" t="s">
        <v>878</v>
      </c>
      <c r="C23" s="198" t="s">
        <v>876</v>
      </c>
      <c r="D23" s="173">
        <f t="shared" ref="D23:M23" si="1">D29+D55+D58+D67</f>
        <v>4.7309032000000002</v>
      </c>
      <c r="E23" s="122">
        <f t="shared" si="1"/>
        <v>0</v>
      </c>
      <c r="F23" s="122">
        <f t="shared" si="1"/>
        <v>0</v>
      </c>
      <c r="G23" s="122">
        <f t="shared" si="1"/>
        <v>4.7309032000000002</v>
      </c>
      <c r="H23" s="122">
        <f t="shared" si="1"/>
        <v>0</v>
      </c>
      <c r="I23" s="122">
        <f t="shared" si="1"/>
        <v>3.3264508444000001</v>
      </c>
      <c r="J23" s="122">
        <f t="shared" si="1"/>
        <v>0</v>
      </c>
      <c r="K23" s="122">
        <f t="shared" si="1"/>
        <v>0</v>
      </c>
      <c r="L23" s="122">
        <f t="shared" si="1"/>
        <v>3.3264508444000001</v>
      </c>
      <c r="M23" s="122">
        <f t="shared" si="1"/>
        <v>0</v>
      </c>
      <c r="N23" s="122">
        <f>D23-I23</f>
        <v>1.4044523556000001</v>
      </c>
      <c r="O23" s="212">
        <f t="shared" ref="O23:O90" si="2">I23/D23*100</f>
        <v>70.313229921931182</v>
      </c>
      <c r="P23" s="122">
        <f t="shared" ref="P23:P95" si="3">E23-J23</f>
        <v>0</v>
      </c>
      <c r="Q23" s="213" t="s">
        <v>256</v>
      </c>
      <c r="R23" s="122">
        <f t="shared" ref="R23:R95" si="4">F23-K23</f>
        <v>0</v>
      </c>
      <c r="S23" s="213" t="s">
        <v>256</v>
      </c>
      <c r="T23" s="122">
        <f t="shared" ref="T23:T95" si="5">G23-L23</f>
        <v>1.4044523556000001</v>
      </c>
      <c r="U23" s="212">
        <f t="shared" ref="U23:U85" si="6">L23/G23*100</f>
        <v>70.313229921931182</v>
      </c>
      <c r="V23" s="122">
        <f t="shared" ref="V23:V95" si="7">H23-M23</f>
        <v>0</v>
      </c>
      <c r="W23" s="163" t="s">
        <v>256</v>
      </c>
      <c r="X23" s="136">
        <f>'10'!T23</f>
        <v>0</v>
      </c>
      <c r="Y23" s="62"/>
    </row>
    <row r="24" spans="1:25" ht="47.25">
      <c r="A24" s="196" t="s">
        <v>879</v>
      </c>
      <c r="B24" s="197" t="s">
        <v>880</v>
      </c>
      <c r="C24" s="198" t="s">
        <v>876</v>
      </c>
      <c r="D24" s="173">
        <f>SUM(E24:H24)</f>
        <v>11.766400600000001</v>
      </c>
      <c r="E24" s="122">
        <f>E70</f>
        <v>0</v>
      </c>
      <c r="F24" s="122">
        <f>F70</f>
        <v>0</v>
      </c>
      <c r="G24" s="122">
        <f>G70</f>
        <v>7.6335999999999995</v>
      </c>
      <c r="H24" s="122">
        <f>H72+H77</f>
        <v>4.1328006000000004</v>
      </c>
      <c r="I24" s="122">
        <f>I70</f>
        <v>5.6513455100000005</v>
      </c>
      <c r="J24" s="122">
        <f>J70</f>
        <v>0</v>
      </c>
      <c r="K24" s="122">
        <f>K70</f>
        <v>0</v>
      </c>
      <c r="L24" s="122">
        <f>L70</f>
        <v>5.6513455100000005</v>
      </c>
      <c r="M24" s="122">
        <f>M70</f>
        <v>0</v>
      </c>
      <c r="N24" s="122">
        <f>D24-I24</f>
        <v>6.1150550900000002</v>
      </c>
      <c r="O24" s="212">
        <f t="shared" si="2"/>
        <v>48.029518134883155</v>
      </c>
      <c r="P24" s="122">
        <f t="shared" si="3"/>
        <v>0</v>
      </c>
      <c r="Q24" s="213" t="s">
        <v>256</v>
      </c>
      <c r="R24" s="122">
        <f t="shared" si="4"/>
        <v>0</v>
      </c>
      <c r="S24" s="213" t="s">
        <v>256</v>
      </c>
      <c r="T24" s="122">
        <f t="shared" si="5"/>
        <v>1.982254489999999</v>
      </c>
      <c r="U24" s="212">
        <f t="shared" si="6"/>
        <v>74.032507728987639</v>
      </c>
      <c r="V24" s="122">
        <f t="shared" si="7"/>
        <v>4.1328006000000004</v>
      </c>
      <c r="W24" s="163" t="s">
        <v>256</v>
      </c>
      <c r="X24" s="136">
        <f>'10'!T24</f>
        <v>0</v>
      </c>
      <c r="Y24" s="62"/>
    </row>
    <row r="25" spans="1:25" ht="110.25">
      <c r="A25" s="196" t="s">
        <v>881</v>
      </c>
      <c r="B25" s="197" t="s">
        <v>882</v>
      </c>
      <c r="C25" s="198" t="s">
        <v>876</v>
      </c>
      <c r="D25" s="173">
        <f t="shared" ref="D25:D28" si="8">SUM(E25:H25)</f>
        <v>0</v>
      </c>
      <c r="E25" s="122">
        <f t="shared" ref="E25:M25" si="9">E96</f>
        <v>0</v>
      </c>
      <c r="F25" s="122">
        <f t="shared" si="9"/>
        <v>0</v>
      </c>
      <c r="G25" s="122">
        <f t="shared" si="9"/>
        <v>0</v>
      </c>
      <c r="H25" s="122">
        <f t="shared" si="9"/>
        <v>0</v>
      </c>
      <c r="I25" s="122">
        <f t="shared" si="9"/>
        <v>0</v>
      </c>
      <c r="J25" s="122">
        <f t="shared" si="9"/>
        <v>0</v>
      </c>
      <c r="K25" s="122">
        <f t="shared" si="9"/>
        <v>0</v>
      </c>
      <c r="L25" s="122">
        <f t="shared" si="9"/>
        <v>0</v>
      </c>
      <c r="M25" s="122">
        <f t="shared" si="9"/>
        <v>0</v>
      </c>
      <c r="N25" s="122">
        <f t="shared" ref="N25:N95" si="10">D25-I25</f>
        <v>0</v>
      </c>
      <c r="O25" s="214" t="e">
        <f t="shared" si="2"/>
        <v>#DIV/0!</v>
      </c>
      <c r="P25" s="122">
        <f t="shared" si="3"/>
        <v>0</v>
      </c>
      <c r="Q25" s="213" t="s">
        <v>256</v>
      </c>
      <c r="R25" s="122">
        <f t="shared" si="4"/>
        <v>0</v>
      </c>
      <c r="S25" s="213" t="s">
        <v>256</v>
      </c>
      <c r="T25" s="122">
        <f t="shared" si="5"/>
        <v>0</v>
      </c>
      <c r="U25" s="214" t="e">
        <f t="shared" si="6"/>
        <v>#DIV/0!</v>
      </c>
      <c r="V25" s="122">
        <f t="shared" si="7"/>
        <v>0</v>
      </c>
      <c r="W25" s="163" t="s">
        <v>256</v>
      </c>
      <c r="X25" s="136">
        <f>'10'!T25</f>
        <v>0</v>
      </c>
      <c r="Y25" s="62"/>
    </row>
    <row r="26" spans="1:25" ht="31.5">
      <c r="A26" s="199" t="s">
        <v>883</v>
      </c>
      <c r="B26" s="200" t="s">
        <v>884</v>
      </c>
      <c r="C26" s="198" t="s">
        <v>876</v>
      </c>
      <c r="D26" s="173">
        <f t="shared" si="8"/>
        <v>1.7919376000000002</v>
      </c>
      <c r="E26" s="122">
        <f t="shared" ref="E26:M26" si="11">E99</f>
        <v>0</v>
      </c>
      <c r="F26" s="122">
        <f t="shared" si="11"/>
        <v>0</v>
      </c>
      <c r="G26" s="122">
        <f t="shared" si="11"/>
        <v>0</v>
      </c>
      <c r="H26" s="122">
        <f t="shared" si="11"/>
        <v>1.7919376000000002</v>
      </c>
      <c r="I26" s="122">
        <f t="shared" si="11"/>
        <v>1.7919376000000002</v>
      </c>
      <c r="J26" s="122">
        <f t="shared" si="11"/>
        <v>0</v>
      </c>
      <c r="K26" s="122">
        <f t="shared" si="11"/>
        <v>0</v>
      </c>
      <c r="L26" s="122">
        <f t="shared" si="11"/>
        <v>1.7919376000000002</v>
      </c>
      <c r="M26" s="122">
        <f t="shared" si="11"/>
        <v>0</v>
      </c>
      <c r="N26" s="122">
        <f t="shared" si="10"/>
        <v>0</v>
      </c>
      <c r="O26" s="214">
        <f t="shared" si="2"/>
        <v>100</v>
      </c>
      <c r="P26" s="122">
        <f t="shared" si="3"/>
        <v>0</v>
      </c>
      <c r="Q26" s="213" t="s">
        <v>256</v>
      </c>
      <c r="R26" s="122">
        <f t="shared" si="4"/>
        <v>0</v>
      </c>
      <c r="S26" s="213" t="s">
        <v>256</v>
      </c>
      <c r="T26" s="122">
        <f t="shared" si="5"/>
        <v>-1.7919376000000002</v>
      </c>
      <c r="U26" s="214" t="e">
        <f t="shared" si="6"/>
        <v>#DIV/0!</v>
      </c>
      <c r="V26" s="122">
        <f t="shared" si="7"/>
        <v>1.7919376000000002</v>
      </c>
      <c r="W26" s="163" t="s">
        <v>256</v>
      </c>
      <c r="X26" s="136">
        <f>'10'!T26</f>
        <v>0</v>
      </c>
      <c r="Y26" s="62"/>
    </row>
    <row r="27" spans="1:25" ht="47.25">
      <c r="A27" s="199" t="s">
        <v>885</v>
      </c>
      <c r="B27" s="200" t="s">
        <v>886</v>
      </c>
      <c r="C27" s="198" t="s">
        <v>876</v>
      </c>
      <c r="D27" s="173">
        <f t="shared" si="8"/>
        <v>0</v>
      </c>
      <c r="E27" s="122">
        <f t="shared" ref="E27:M27" si="12">E102</f>
        <v>0</v>
      </c>
      <c r="F27" s="122">
        <f t="shared" si="12"/>
        <v>0</v>
      </c>
      <c r="G27" s="122">
        <f t="shared" si="12"/>
        <v>0</v>
      </c>
      <c r="H27" s="122">
        <f t="shared" si="12"/>
        <v>0</v>
      </c>
      <c r="I27" s="122">
        <f t="shared" si="12"/>
        <v>0</v>
      </c>
      <c r="J27" s="122">
        <f t="shared" si="12"/>
        <v>0</v>
      </c>
      <c r="K27" s="122">
        <f t="shared" si="12"/>
        <v>0</v>
      </c>
      <c r="L27" s="122">
        <f t="shared" si="12"/>
        <v>0</v>
      </c>
      <c r="M27" s="122">
        <f t="shared" si="12"/>
        <v>0</v>
      </c>
      <c r="N27" s="122">
        <f t="shared" si="10"/>
        <v>0</v>
      </c>
      <c r="O27" s="214" t="e">
        <f t="shared" si="2"/>
        <v>#DIV/0!</v>
      </c>
      <c r="P27" s="122">
        <f t="shared" si="3"/>
        <v>0</v>
      </c>
      <c r="Q27" s="213" t="s">
        <v>256</v>
      </c>
      <c r="R27" s="122">
        <f t="shared" si="4"/>
        <v>0</v>
      </c>
      <c r="S27" s="213" t="s">
        <v>256</v>
      </c>
      <c r="T27" s="122">
        <f t="shared" si="5"/>
        <v>0</v>
      </c>
      <c r="U27" s="214" t="e">
        <f t="shared" si="6"/>
        <v>#DIV/0!</v>
      </c>
      <c r="V27" s="122">
        <f t="shared" si="7"/>
        <v>0</v>
      </c>
      <c r="W27" s="163" t="s">
        <v>256</v>
      </c>
      <c r="X27" s="136">
        <f>'10'!T27</f>
        <v>0</v>
      </c>
      <c r="Y27" s="62"/>
    </row>
    <row r="28" spans="1:25" ht="31.5">
      <c r="A28" s="199" t="s">
        <v>887</v>
      </c>
      <c r="B28" s="200" t="s">
        <v>888</v>
      </c>
      <c r="C28" s="198" t="s">
        <v>876</v>
      </c>
      <c r="D28" s="173">
        <f t="shared" si="8"/>
        <v>8.9344798730000008</v>
      </c>
      <c r="E28" s="122">
        <f t="shared" ref="E28:M28" si="13">E103</f>
        <v>0</v>
      </c>
      <c r="F28" s="122">
        <f t="shared" si="13"/>
        <v>0</v>
      </c>
      <c r="G28" s="122">
        <f t="shared" si="13"/>
        <v>8.9344798730000008</v>
      </c>
      <c r="H28" s="122">
        <f t="shared" si="13"/>
        <v>0</v>
      </c>
      <c r="I28" s="122">
        <f t="shared" si="13"/>
        <v>8.9344798730000008</v>
      </c>
      <c r="J28" s="122">
        <f t="shared" si="13"/>
        <v>0</v>
      </c>
      <c r="K28" s="122">
        <f t="shared" si="13"/>
        <v>0</v>
      </c>
      <c r="L28" s="122">
        <f t="shared" si="13"/>
        <v>8.9344798730000008</v>
      </c>
      <c r="M28" s="122">
        <f t="shared" si="13"/>
        <v>0</v>
      </c>
      <c r="N28" s="122">
        <f t="shared" si="10"/>
        <v>0</v>
      </c>
      <c r="O28" s="212">
        <f t="shared" si="2"/>
        <v>100</v>
      </c>
      <c r="P28" s="122">
        <f t="shared" si="3"/>
        <v>0</v>
      </c>
      <c r="Q28" s="213" t="s">
        <v>256</v>
      </c>
      <c r="R28" s="122">
        <f t="shared" si="4"/>
        <v>0</v>
      </c>
      <c r="S28" s="213" t="s">
        <v>256</v>
      </c>
      <c r="T28" s="122">
        <f t="shared" si="5"/>
        <v>0</v>
      </c>
      <c r="U28" s="212">
        <f t="shared" si="6"/>
        <v>100</v>
      </c>
      <c r="V28" s="122">
        <f t="shared" si="7"/>
        <v>0</v>
      </c>
      <c r="W28" s="163" t="s">
        <v>256</v>
      </c>
      <c r="X28" s="136">
        <f>'10'!T28</f>
        <v>0</v>
      </c>
      <c r="Y28" s="62"/>
    </row>
    <row r="29" spans="1:25" ht="47.25">
      <c r="A29" s="201" t="s">
        <v>743</v>
      </c>
      <c r="B29" s="200" t="s">
        <v>889</v>
      </c>
      <c r="C29" s="202" t="s">
        <v>876</v>
      </c>
      <c r="D29" s="174">
        <f t="shared" ref="D29:M29" si="14">D30+D47+D54</f>
        <v>4.7309032000000002</v>
      </c>
      <c r="E29" s="122">
        <f t="shared" si="14"/>
        <v>0</v>
      </c>
      <c r="F29" s="122">
        <f t="shared" si="14"/>
        <v>0</v>
      </c>
      <c r="G29" s="122">
        <f t="shared" si="14"/>
        <v>4.7309032000000002</v>
      </c>
      <c r="H29" s="122">
        <f t="shared" si="14"/>
        <v>0</v>
      </c>
      <c r="I29" s="122">
        <f t="shared" si="14"/>
        <v>3.3264508444000001</v>
      </c>
      <c r="J29" s="122">
        <f t="shared" si="14"/>
        <v>0</v>
      </c>
      <c r="K29" s="122">
        <f t="shared" si="14"/>
        <v>0</v>
      </c>
      <c r="L29" s="122">
        <f>L30+L47+L54</f>
        <v>3.3264508444000001</v>
      </c>
      <c r="M29" s="122">
        <f t="shared" si="14"/>
        <v>0</v>
      </c>
      <c r="N29" s="122">
        <f t="shared" si="10"/>
        <v>1.4044523556000001</v>
      </c>
      <c r="O29" s="212">
        <f t="shared" si="2"/>
        <v>70.313229921931182</v>
      </c>
      <c r="P29" s="122">
        <f t="shared" si="3"/>
        <v>0</v>
      </c>
      <c r="Q29" s="213" t="s">
        <v>256</v>
      </c>
      <c r="R29" s="122">
        <f t="shared" si="4"/>
        <v>0</v>
      </c>
      <c r="S29" s="213" t="s">
        <v>256</v>
      </c>
      <c r="T29" s="122">
        <f t="shared" si="5"/>
        <v>1.4044523556000001</v>
      </c>
      <c r="U29" s="212">
        <f t="shared" si="6"/>
        <v>70.313229921931182</v>
      </c>
      <c r="V29" s="122">
        <f t="shared" si="7"/>
        <v>0</v>
      </c>
      <c r="W29" s="163" t="s">
        <v>256</v>
      </c>
      <c r="X29" s="136">
        <f>'10'!T29</f>
        <v>0</v>
      </c>
      <c r="Y29" s="62"/>
    </row>
    <row r="30" spans="1:25" ht="78.75">
      <c r="A30" s="199" t="s">
        <v>387</v>
      </c>
      <c r="B30" s="509" t="s">
        <v>890</v>
      </c>
      <c r="C30" s="202" t="s">
        <v>876</v>
      </c>
      <c r="D30" s="174">
        <f t="shared" ref="D30:I30" si="15">D31</f>
        <v>4.7309032000000002</v>
      </c>
      <c r="E30" s="122">
        <f t="shared" si="15"/>
        <v>0</v>
      </c>
      <c r="F30" s="122">
        <f t="shared" si="15"/>
        <v>0</v>
      </c>
      <c r="G30" s="122">
        <f t="shared" si="15"/>
        <v>4.7309032000000002</v>
      </c>
      <c r="H30" s="122">
        <f t="shared" si="15"/>
        <v>0</v>
      </c>
      <c r="I30" s="122">
        <f t="shared" si="15"/>
        <v>2.2723559320000004</v>
      </c>
      <c r="J30" s="122">
        <f>J31</f>
        <v>0</v>
      </c>
      <c r="K30" s="122">
        <f>K31</f>
        <v>0</v>
      </c>
      <c r="L30" s="122">
        <f>L31</f>
        <v>2.2723559320000004</v>
      </c>
      <c r="M30" s="122">
        <f>M31</f>
        <v>0</v>
      </c>
      <c r="N30" s="122">
        <f t="shared" si="10"/>
        <v>2.4585472679999998</v>
      </c>
      <c r="O30" s="212">
        <f t="shared" si="2"/>
        <v>48.032179817164725</v>
      </c>
      <c r="P30" s="122">
        <f t="shared" si="3"/>
        <v>0</v>
      </c>
      <c r="Q30" s="213" t="s">
        <v>256</v>
      </c>
      <c r="R30" s="122">
        <f t="shared" si="4"/>
        <v>0</v>
      </c>
      <c r="S30" s="213" t="s">
        <v>256</v>
      </c>
      <c r="T30" s="122">
        <f t="shared" si="5"/>
        <v>2.4585472679999998</v>
      </c>
      <c r="U30" s="212">
        <f t="shared" si="6"/>
        <v>48.032179817164725</v>
      </c>
      <c r="V30" s="122">
        <f t="shared" si="7"/>
        <v>0</v>
      </c>
      <c r="W30" s="163" t="s">
        <v>256</v>
      </c>
      <c r="X30" s="136">
        <f>'10'!T30</f>
        <v>0</v>
      </c>
      <c r="Y30" s="62"/>
    </row>
    <row r="31" spans="1:25" ht="151.5" customHeight="1">
      <c r="A31" s="203" t="s">
        <v>389</v>
      </c>
      <c r="B31" s="510" t="s">
        <v>891</v>
      </c>
      <c r="C31" s="204" t="s">
        <v>892</v>
      </c>
      <c r="D31" s="174">
        <f t="shared" ref="D31:D95" si="16">SUM(E31:H31)</f>
        <v>4.7309032000000002</v>
      </c>
      <c r="E31" s="140">
        <v>0</v>
      </c>
      <c r="F31" s="140">
        <v>0</v>
      </c>
      <c r="G31" s="140">
        <f>4.00924*1.18</f>
        <v>4.7309032000000002</v>
      </c>
      <c r="H31" s="140">
        <v>0</v>
      </c>
      <c r="I31" s="122">
        <f>SUM(J31:M31)</f>
        <v>2.2723559320000004</v>
      </c>
      <c r="J31" s="122">
        <v>0</v>
      </c>
      <c r="K31" s="122">
        <v>0</v>
      </c>
      <c r="L31" s="122">
        <f>SUM(L32:L46)</f>
        <v>2.2723559320000004</v>
      </c>
      <c r="M31" s="122">
        <v>0</v>
      </c>
      <c r="N31" s="122">
        <f t="shared" si="10"/>
        <v>2.4585472679999998</v>
      </c>
      <c r="O31" s="212">
        <f t="shared" si="2"/>
        <v>48.032179817164725</v>
      </c>
      <c r="P31" s="122">
        <f t="shared" si="3"/>
        <v>0</v>
      </c>
      <c r="Q31" s="213" t="s">
        <v>256</v>
      </c>
      <c r="R31" s="122">
        <f t="shared" si="4"/>
        <v>0</v>
      </c>
      <c r="S31" s="213" t="s">
        <v>256</v>
      </c>
      <c r="T31" s="122">
        <f t="shared" si="5"/>
        <v>2.4585472679999998</v>
      </c>
      <c r="U31" s="212">
        <f t="shared" si="6"/>
        <v>48.032179817164725</v>
      </c>
      <c r="V31" s="122">
        <f t="shared" si="7"/>
        <v>0</v>
      </c>
      <c r="W31" s="163" t="s">
        <v>256</v>
      </c>
      <c r="X31" s="136">
        <f>'10'!T31</f>
        <v>0</v>
      </c>
      <c r="Y31" s="62"/>
    </row>
    <row r="32" spans="1:25" s="151" customFormat="1" ht="90" customHeight="1">
      <c r="A32" s="203" t="s">
        <v>1074</v>
      </c>
      <c r="B32" s="508" t="s">
        <v>1080</v>
      </c>
      <c r="C32" s="204" t="s">
        <v>876</v>
      </c>
      <c r="D32" s="174"/>
      <c r="E32" s="140">
        <v>0</v>
      </c>
      <c r="F32" s="140">
        <v>0</v>
      </c>
      <c r="G32" s="140">
        <v>0</v>
      </c>
      <c r="H32" s="140">
        <v>0</v>
      </c>
      <c r="I32" s="122">
        <f t="shared" ref="I32:I54" si="17">SUM(J32:M32)</f>
        <v>6.1970959999999999E-2</v>
      </c>
      <c r="J32" s="122">
        <v>0</v>
      </c>
      <c r="K32" s="122">
        <v>0</v>
      </c>
      <c r="L32" s="122">
        <f>'10'!H32</f>
        <v>6.1970959999999999E-2</v>
      </c>
      <c r="M32" s="122">
        <v>0</v>
      </c>
      <c r="N32" s="122">
        <v>0</v>
      </c>
      <c r="O32" s="214" t="e">
        <f t="shared" si="2"/>
        <v>#DIV/0!</v>
      </c>
      <c r="P32" s="122">
        <v>0</v>
      </c>
      <c r="Q32" s="213" t="s">
        <v>256</v>
      </c>
      <c r="R32" s="122">
        <v>0</v>
      </c>
      <c r="S32" s="213" t="s">
        <v>256</v>
      </c>
      <c r="T32" s="122">
        <v>0</v>
      </c>
      <c r="U32" s="214" t="e">
        <f t="shared" si="6"/>
        <v>#DIV/0!</v>
      </c>
      <c r="V32" s="122">
        <v>0</v>
      </c>
      <c r="W32" s="163" t="s">
        <v>256</v>
      </c>
      <c r="X32" s="170" t="str">
        <f>'10'!T32</f>
        <v>Строительство сетей для создания технической возможности ТП потребителей в соответствии с договорами на ТП</v>
      </c>
      <c r="Y32" s="62"/>
    </row>
    <row r="33" spans="1:25" s="151" customFormat="1" ht="90" customHeight="1">
      <c r="A33" s="203" t="s">
        <v>1075</v>
      </c>
      <c r="B33" s="508" t="s">
        <v>1081</v>
      </c>
      <c r="C33" s="204" t="s">
        <v>876</v>
      </c>
      <c r="D33" s="174"/>
      <c r="E33" s="140">
        <v>0</v>
      </c>
      <c r="F33" s="140">
        <v>0</v>
      </c>
      <c r="G33" s="140">
        <v>0</v>
      </c>
      <c r="H33" s="140">
        <v>0</v>
      </c>
      <c r="I33" s="122">
        <f t="shared" si="17"/>
        <v>2.7500230000000001E-2</v>
      </c>
      <c r="J33" s="122">
        <v>0</v>
      </c>
      <c r="K33" s="122">
        <v>0</v>
      </c>
      <c r="L33" s="122">
        <f>'10'!H33</f>
        <v>2.7500230000000001E-2</v>
      </c>
      <c r="M33" s="122">
        <v>0</v>
      </c>
      <c r="N33" s="122">
        <v>0</v>
      </c>
      <c r="O33" s="214" t="e">
        <f t="shared" si="2"/>
        <v>#DIV/0!</v>
      </c>
      <c r="P33" s="122">
        <v>0</v>
      </c>
      <c r="Q33" s="213" t="s">
        <v>256</v>
      </c>
      <c r="R33" s="122">
        <v>0</v>
      </c>
      <c r="S33" s="213" t="s">
        <v>256</v>
      </c>
      <c r="T33" s="122">
        <v>0</v>
      </c>
      <c r="U33" s="214" t="e">
        <f t="shared" si="6"/>
        <v>#DIV/0!</v>
      </c>
      <c r="V33" s="122">
        <v>0</v>
      </c>
      <c r="W33" s="163" t="s">
        <v>256</v>
      </c>
      <c r="X33" s="170" t="str">
        <f>'10'!T33</f>
        <v>Строительство сетей для создания технической возможности ТП потребителей в соответствии с договорами на ТП</v>
      </c>
      <c r="Y33" s="62"/>
    </row>
    <row r="34" spans="1:25" s="151" customFormat="1" ht="63">
      <c r="A34" s="203" t="s">
        <v>1076</v>
      </c>
      <c r="B34" s="508" t="s">
        <v>1082</v>
      </c>
      <c r="C34" s="204" t="s">
        <v>876</v>
      </c>
      <c r="D34" s="174"/>
      <c r="E34" s="140">
        <v>0</v>
      </c>
      <c r="F34" s="140">
        <v>0</v>
      </c>
      <c r="G34" s="140">
        <v>0</v>
      </c>
      <c r="H34" s="140">
        <v>0</v>
      </c>
      <c r="I34" s="122">
        <f t="shared" si="17"/>
        <v>0.13751769</v>
      </c>
      <c r="J34" s="122">
        <v>0</v>
      </c>
      <c r="K34" s="122">
        <v>0</v>
      </c>
      <c r="L34" s="122">
        <f>'10'!H34</f>
        <v>0.13751769</v>
      </c>
      <c r="M34" s="122">
        <v>0</v>
      </c>
      <c r="N34" s="122">
        <v>0</v>
      </c>
      <c r="O34" s="214" t="e">
        <f t="shared" si="2"/>
        <v>#DIV/0!</v>
      </c>
      <c r="P34" s="122">
        <v>0</v>
      </c>
      <c r="Q34" s="213" t="s">
        <v>256</v>
      </c>
      <c r="R34" s="122">
        <v>0</v>
      </c>
      <c r="S34" s="213" t="s">
        <v>256</v>
      </c>
      <c r="T34" s="122">
        <v>0</v>
      </c>
      <c r="U34" s="214" t="e">
        <f t="shared" si="6"/>
        <v>#DIV/0!</v>
      </c>
      <c r="V34" s="122">
        <v>0</v>
      </c>
      <c r="W34" s="163" t="s">
        <v>256</v>
      </c>
      <c r="X34" s="170" t="str">
        <f>'10'!T34</f>
        <v>Строительство сетей для создания технической возможности ТП потребителей в соответствии с договорами на ТП</v>
      </c>
      <c r="Y34" s="62"/>
    </row>
    <row r="35" spans="1:25" s="151" customFormat="1" ht="85.5" customHeight="1">
      <c r="A35" s="203" t="s">
        <v>1077</v>
      </c>
      <c r="B35" s="508" t="s">
        <v>1148</v>
      </c>
      <c r="C35" s="204" t="s">
        <v>876</v>
      </c>
      <c r="D35" s="174"/>
      <c r="E35" s="140">
        <v>0</v>
      </c>
      <c r="F35" s="140">
        <v>0</v>
      </c>
      <c r="G35" s="140">
        <v>0</v>
      </c>
      <c r="H35" s="140">
        <v>0</v>
      </c>
      <c r="I35" s="122">
        <f t="shared" si="17"/>
        <v>8.6533588999999994E-2</v>
      </c>
      <c r="J35" s="122">
        <v>0</v>
      </c>
      <c r="K35" s="122">
        <v>0</v>
      </c>
      <c r="L35" s="122">
        <f>'10'!H35</f>
        <v>8.6533588999999994E-2</v>
      </c>
      <c r="M35" s="122">
        <v>0</v>
      </c>
      <c r="N35" s="122">
        <v>0</v>
      </c>
      <c r="O35" s="214" t="e">
        <f t="shared" si="2"/>
        <v>#DIV/0!</v>
      </c>
      <c r="P35" s="122">
        <v>0</v>
      </c>
      <c r="Q35" s="213" t="s">
        <v>256</v>
      </c>
      <c r="R35" s="122">
        <v>0</v>
      </c>
      <c r="S35" s="213" t="s">
        <v>256</v>
      </c>
      <c r="T35" s="122">
        <v>0</v>
      </c>
      <c r="U35" s="214" t="e">
        <f t="shared" si="6"/>
        <v>#DIV/0!</v>
      </c>
      <c r="V35" s="122">
        <v>0</v>
      </c>
      <c r="W35" s="163" t="s">
        <v>256</v>
      </c>
      <c r="X35" s="170" t="e">
        <f>'10'!#REF!</f>
        <v>#REF!</v>
      </c>
      <c r="Y35" s="62"/>
    </row>
    <row r="36" spans="1:25" s="152" customFormat="1" ht="63">
      <c r="A36" s="203" t="s">
        <v>1078</v>
      </c>
      <c r="B36" s="514" t="s">
        <v>1084</v>
      </c>
      <c r="C36" s="204" t="s">
        <v>876</v>
      </c>
      <c r="D36" s="174"/>
      <c r="E36" s="140">
        <v>0</v>
      </c>
      <c r="F36" s="140">
        <v>0</v>
      </c>
      <c r="G36" s="140">
        <v>0</v>
      </c>
      <c r="H36" s="140">
        <v>0</v>
      </c>
      <c r="I36" s="122">
        <f t="shared" ref="I36" si="18">SUM(J36:M36)</f>
        <v>1.1186430000000001</v>
      </c>
      <c r="J36" s="122">
        <v>0</v>
      </c>
      <c r="K36" s="122">
        <v>0</v>
      </c>
      <c r="L36" s="122">
        <f>'10'!H36</f>
        <v>1.1186430000000001</v>
      </c>
      <c r="M36" s="122">
        <v>0</v>
      </c>
      <c r="N36" s="122">
        <v>0</v>
      </c>
      <c r="O36" s="214" t="e">
        <f t="shared" ref="O36:O37" si="19">I36/D36*100</f>
        <v>#DIV/0!</v>
      </c>
      <c r="P36" s="122">
        <v>0</v>
      </c>
      <c r="Q36" s="213" t="s">
        <v>256</v>
      </c>
      <c r="R36" s="122">
        <v>0</v>
      </c>
      <c r="S36" s="213" t="s">
        <v>256</v>
      </c>
      <c r="T36" s="122">
        <v>0</v>
      </c>
      <c r="U36" s="214" t="e">
        <f t="shared" ref="U36:U37" si="20">L36/G36*100</f>
        <v>#DIV/0!</v>
      </c>
      <c r="V36" s="122">
        <v>0</v>
      </c>
      <c r="W36" s="512" t="s">
        <v>256</v>
      </c>
      <c r="X36" s="170" t="str">
        <f>'10'!T36</f>
        <v>Строительство сетей для создания технической возможности ТП потребителей в соответствии с договорами на ТП</v>
      </c>
      <c r="Y36" s="62"/>
    </row>
    <row r="37" spans="1:25" s="152" customFormat="1" ht="72.75" customHeight="1">
      <c r="A37" s="203" t="s">
        <v>1079</v>
      </c>
      <c r="B37" s="508" t="s">
        <v>1085</v>
      </c>
      <c r="C37" s="204" t="s">
        <v>876</v>
      </c>
      <c r="D37" s="174"/>
      <c r="E37" s="140">
        <v>0</v>
      </c>
      <c r="F37" s="140">
        <v>0</v>
      </c>
      <c r="G37" s="140">
        <v>0</v>
      </c>
      <c r="H37" s="140">
        <v>0</v>
      </c>
      <c r="I37" s="122">
        <f>SUM(J37:M37)</f>
        <v>9.1999999999999998E-2</v>
      </c>
      <c r="J37" s="122">
        <v>0</v>
      </c>
      <c r="K37" s="122">
        <v>0</v>
      </c>
      <c r="L37" s="122">
        <f>'10'!H37</f>
        <v>9.1999999999999998E-2</v>
      </c>
      <c r="M37" s="122">
        <v>0</v>
      </c>
      <c r="N37" s="122">
        <v>0</v>
      </c>
      <c r="O37" s="214" t="e">
        <f t="shared" si="19"/>
        <v>#DIV/0!</v>
      </c>
      <c r="P37" s="122">
        <v>0</v>
      </c>
      <c r="Q37" s="213" t="s">
        <v>256</v>
      </c>
      <c r="R37" s="122">
        <v>0</v>
      </c>
      <c r="S37" s="213" t="s">
        <v>256</v>
      </c>
      <c r="T37" s="122">
        <v>0</v>
      </c>
      <c r="U37" s="214" t="e">
        <f t="shared" si="20"/>
        <v>#DIV/0!</v>
      </c>
      <c r="V37" s="122">
        <v>0</v>
      </c>
      <c r="W37" s="512" t="s">
        <v>256</v>
      </c>
      <c r="X37" s="170" t="str">
        <f>'10'!T38</f>
        <v>Строительство сетей для создания технической возможности ТП потребителей в соответствии с договорами на ТП</v>
      </c>
      <c r="Y37" s="62"/>
    </row>
    <row r="38" spans="1:25" s="151" customFormat="1" ht="63">
      <c r="A38" s="203" t="s">
        <v>1145</v>
      </c>
      <c r="B38" s="508" t="s">
        <v>1156</v>
      </c>
      <c r="C38" s="204" t="s">
        <v>876</v>
      </c>
      <c r="D38" s="174"/>
      <c r="E38" s="140">
        <v>0</v>
      </c>
      <c r="F38" s="140">
        <v>0</v>
      </c>
      <c r="G38" s="140">
        <v>0</v>
      </c>
      <c r="H38" s="140">
        <v>0</v>
      </c>
      <c r="I38" s="122">
        <f t="shared" si="17"/>
        <v>3.9901382999999999E-2</v>
      </c>
      <c r="J38" s="122">
        <v>0</v>
      </c>
      <c r="K38" s="122">
        <v>0</v>
      </c>
      <c r="L38" s="122">
        <f>'10'!H38</f>
        <v>3.9901382999999999E-2</v>
      </c>
      <c r="M38" s="122">
        <v>0</v>
      </c>
      <c r="N38" s="122">
        <v>0</v>
      </c>
      <c r="O38" s="214" t="e">
        <f t="shared" si="2"/>
        <v>#DIV/0!</v>
      </c>
      <c r="P38" s="122">
        <v>0</v>
      </c>
      <c r="Q38" s="213" t="s">
        <v>256</v>
      </c>
      <c r="R38" s="122">
        <v>0</v>
      </c>
      <c r="S38" s="213" t="s">
        <v>256</v>
      </c>
      <c r="T38" s="122">
        <v>0</v>
      </c>
      <c r="U38" s="214" t="e">
        <f t="shared" si="6"/>
        <v>#DIV/0!</v>
      </c>
      <c r="V38" s="122">
        <v>0</v>
      </c>
      <c r="W38" s="163" t="s">
        <v>256</v>
      </c>
      <c r="X38" s="170" t="str">
        <f>'10'!T38</f>
        <v>Строительство сетей для создания технической возможности ТП потребителей в соответствии с договорами на ТП</v>
      </c>
      <c r="Y38" s="62"/>
    </row>
    <row r="39" spans="1:25" s="152" customFormat="1" ht="72.75" customHeight="1">
      <c r="A39" s="203" t="s">
        <v>1146</v>
      </c>
      <c r="B39" s="508" t="s">
        <v>1155</v>
      </c>
      <c r="C39" s="204" t="s">
        <v>876</v>
      </c>
      <c r="D39" s="174"/>
      <c r="E39" s="140">
        <v>0</v>
      </c>
      <c r="F39" s="140">
        <v>0</v>
      </c>
      <c r="G39" s="140">
        <v>0</v>
      </c>
      <c r="H39" s="140">
        <v>0</v>
      </c>
      <c r="I39" s="122">
        <f t="shared" ref="I39:I47" si="21">SUM(J39:M39)</f>
        <v>0.16484497000000001</v>
      </c>
      <c r="J39" s="122">
        <v>0</v>
      </c>
      <c r="K39" s="122">
        <v>0</v>
      </c>
      <c r="L39" s="122">
        <f>'10'!H39</f>
        <v>0.16484497000000001</v>
      </c>
      <c r="M39" s="122">
        <v>0</v>
      </c>
      <c r="N39" s="122">
        <v>0</v>
      </c>
      <c r="O39" s="214" t="e">
        <f t="shared" ref="O39:O45" si="22">I39/D39*100</f>
        <v>#DIV/0!</v>
      </c>
      <c r="P39" s="122">
        <v>0</v>
      </c>
      <c r="Q39" s="213" t="s">
        <v>256</v>
      </c>
      <c r="R39" s="122">
        <v>0</v>
      </c>
      <c r="S39" s="213" t="s">
        <v>256</v>
      </c>
      <c r="T39" s="122">
        <v>0</v>
      </c>
      <c r="U39" s="214" t="e">
        <f t="shared" ref="U39:U45" si="23">L39/G39*100</f>
        <v>#DIV/0!</v>
      </c>
      <c r="V39" s="122">
        <v>0</v>
      </c>
      <c r="W39" s="512" t="s">
        <v>256</v>
      </c>
      <c r="X39" s="170" t="str">
        <f>'10'!T39</f>
        <v>Строительство сетей для создания технической возможности ТП потребителей в соответствии с договорами на ТП</v>
      </c>
      <c r="Y39" s="62"/>
    </row>
    <row r="40" spans="1:25" s="152" customFormat="1" ht="72.75" customHeight="1">
      <c r="A40" s="123" t="s">
        <v>1147</v>
      </c>
      <c r="B40" s="508" t="s">
        <v>1154</v>
      </c>
      <c r="C40" s="119" t="s">
        <v>876</v>
      </c>
      <c r="D40" s="174"/>
      <c r="E40" s="140">
        <v>0</v>
      </c>
      <c r="F40" s="140">
        <v>0</v>
      </c>
      <c r="G40" s="140">
        <v>0</v>
      </c>
      <c r="H40" s="140">
        <v>0</v>
      </c>
      <c r="I40" s="122">
        <f t="shared" si="21"/>
        <v>0.18058581999999998</v>
      </c>
      <c r="J40" s="122">
        <v>0</v>
      </c>
      <c r="K40" s="122">
        <v>0</v>
      </c>
      <c r="L40" s="122">
        <f>'10'!H40</f>
        <v>0.18058581999999998</v>
      </c>
      <c r="M40" s="122">
        <v>0</v>
      </c>
      <c r="N40" s="122">
        <v>0</v>
      </c>
      <c r="O40" s="214" t="e">
        <f t="shared" si="22"/>
        <v>#DIV/0!</v>
      </c>
      <c r="P40" s="122">
        <v>0</v>
      </c>
      <c r="Q40" s="213" t="s">
        <v>256</v>
      </c>
      <c r="R40" s="122">
        <v>0</v>
      </c>
      <c r="S40" s="213" t="s">
        <v>256</v>
      </c>
      <c r="T40" s="122">
        <v>0</v>
      </c>
      <c r="U40" s="214" t="e">
        <f t="shared" si="23"/>
        <v>#DIV/0!</v>
      </c>
      <c r="V40" s="122">
        <v>0</v>
      </c>
      <c r="W40" s="512" t="s">
        <v>256</v>
      </c>
      <c r="X40" s="170" t="str">
        <f>'10'!T40</f>
        <v>Строительство сетей для создания технической возможности ТП потребителей в соответствии с договорами на ТП</v>
      </c>
      <c r="Y40" s="62"/>
    </row>
    <row r="41" spans="1:25" s="546" customFormat="1" ht="72.75" customHeight="1">
      <c r="A41" s="123" t="s">
        <v>1158</v>
      </c>
      <c r="B41" s="508" t="s">
        <v>1159</v>
      </c>
      <c r="C41" s="119" t="s">
        <v>876</v>
      </c>
      <c r="D41" s="174"/>
      <c r="E41" s="140">
        <v>0</v>
      </c>
      <c r="F41" s="140">
        <v>0</v>
      </c>
      <c r="G41" s="140">
        <v>0</v>
      </c>
      <c r="H41" s="140">
        <v>0</v>
      </c>
      <c r="I41" s="122">
        <f t="shared" si="21"/>
        <v>3.3708879999999997E-2</v>
      </c>
      <c r="J41" s="122">
        <v>0</v>
      </c>
      <c r="K41" s="122">
        <v>0</v>
      </c>
      <c r="L41" s="122">
        <f>'10'!H41</f>
        <v>3.3708879999999997E-2</v>
      </c>
      <c r="M41" s="122">
        <v>0</v>
      </c>
      <c r="N41" s="122">
        <v>0</v>
      </c>
      <c r="O41" s="214" t="e">
        <f t="shared" ref="O41" si="24">I41/D41*100</f>
        <v>#DIV/0!</v>
      </c>
      <c r="P41" s="122">
        <v>0</v>
      </c>
      <c r="Q41" s="213" t="s">
        <v>256</v>
      </c>
      <c r="R41" s="122">
        <v>0</v>
      </c>
      <c r="S41" s="213" t="s">
        <v>256</v>
      </c>
      <c r="T41" s="122">
        <v>0</v>
      </c>
      <c r="U41" s="214" t="e">
        <f t="shared" ref="U41" si="25">L41/G41*100</f>
        <v>#DIV/0!</v>
      </c>
      <c r="V41" s="122">
        <v>0</v>
      </c>
      <c r="W41" s="545" t="s">
        <v>256</v>
      </c>
      <c r="X41" s="170" t="str">
        <f>'10'!T44</f>
        <v>Строительство сетей для создания технической возможности ТП потребителей в соответствии с договорами на ТП</v>
      </c>
      <c r="Y41" s="62"/>
    </row>
    <row r="42" spans="1:25" s="546" customFormat="1" ht="72.75" customHeight="1">
      <c r="A42" s="123" t="s">
        <v>1158</v>
      </c>
      <c r="B42" s="508" t="s">
        <v>1160</v>
      </c>
      <c r="C42" s="119" t="s">
        <v>876</v>
      </c>
      <c r="D42" s="174"/>
      <c r="E42" s="140">
        <v>0</v>
      </c>
      <c r="F42" s="140">
        <v>0</v>
      </c>
      <c r="G42" s="140">
        <v>0</v>
      </c>
      <c r="H42" s="140">
        <v>0</v>
      </c>
      <c r="I42" s="122">
        <f t="shared" si="21"/>
        <v>0.10443908</v>
      </c>
      <c r="J42" s="122">
        <v>0</v>
      </c>
      <c r="K42" s="122">
        <v>0</v>
      </c>
      <c r="L42" s="122">
        <f>'10'!H42</f>
        <v>0.10443908</v>
      </c>
      <c r="M42" s="122">
        <v>0</v>
      </c>
      <c r="N42" s="122">
        <v>0</v>
      </c>
      <c r="O42" s="214" t="e">
        <f t="shared" si="22"/>
        <v>#DIV/0!</v>
      </c>
      <c r="P42" s="122">
        <v>0</v>
      </c>
      <c r="Q42" s="213" t="s">
        <v>256</v>
      </c>
      <c r="R42" s="122">
        <v>0</v>
      </c>
      <c r="S42" s="213" t="s">
        <v>256</v>
      </c>
      <c r="T42" s="122">
        <v>0</v>
      </c>
      <c r="U42" s="214" t="e">
        <f t="shared" si="23"/>
        <v>#DIV/0!</v>
      </c>
      <c r="V42" s="122">
        <v>0</v>
      </c>
      <c r="W42" s="545" t="s">
        <v>256</v>
      </c>
      <c r="X42" s="170" t="str">
        <f>'10'!T45</f>
        <v>Строительство сетей для создания технической возможности ТП потребителей в соответствии с договорами на ТП</v>
      </c>
      <c r="Y42" s="62"/>
    </row>
    <row r="43" spans="1:25" s="546" customFormat="1" ht="72.75" customHeight="1">
      <c r="A43" s="123" t="s">
        <v>1158</v>
      </c>
      <c r="B43" s="508" t="s">
        <v>1161</v>
      </c>
      <c r="C43" s="119" t="s">
        <v>876</v>
      </c>
      <c r="D43" s="174"/>
      <c r="E43" s="140">
        <v>0</v>
      </c>
      <c r="F43" s="140">
        <v>0</v>
      </c>
      <c r="G43" s="140">
        <v>0</v>
      </c>
      <c r="H43" s="140">
        <v>0</v>
      </c>
      <c r="I43" s="122">
        <f t="shared" si="21"/>
        <v>3.8461339999999997E-2</v>
      </c>
      <c r="J43" s="122">
        <v>0</v>
      </c>
      <c r="K43" s="122">
        <v>0</v>
      </c>
      <c r="L43" s="122">
        <f>'10'!H43</f>
        <v>3.8461339999999997E-2</v>
      </c>
      <c r="M43" s="122">
        <v>0</v>
      </c>
      <c r="N43" s="122">
        <v>0</v>
      </c>
      <c r="O43" s="214" t="e">
        <f t="shared" si="22"/>
        <v>#DIV/0!</v>
      </c>
      <c r="P43" s="122">
        <v>0</v>
      </c>
      <c r="Q43" s="213" t="s">
        <v>256</v>
      </c>
      <c r="R43" s="122">
        <v>0</v>
      </c>
      <c r="S43" s="213" t="s">
        <v>256</v>
      </c>
      <c r="T43" s="122">
        <v>0</v>
      </c>
      <c r="U43" s="214" t="e">
        <f t="shared" si="23"/>
        <v>#DIV/0!</v>
      </c>
      <c r="V43" s="122">
        <v>0</v>
      </c>
      <c r="W43" s="545" t="s">
        <v>256</v>
      </c>
      <c r="X43" s="170" t="str">
        <f>'10'!T45</f>
        <v>Строительство сетей для создания технической возможности ТП потребителей в соответствии с договорами на ТП</v>
      </c>
      <c r="Y43" s="62"/>
    </row>
    <row r="44" spans="1:25" s="546" customFormat="1" ht="72.75" customHeight="1">
      <c r="A44" s="123" t="s">
        <v>1158</v>
      </c>
      <c r="B44" s="508" t="s">
        <v>1162</v>
      </c>
      <c r="C44" s="119" t="s">
        <v>876</v>
      </c>
      <c r="D44" s="174"/>
      <c r="E44" s="140">
        <v>0</v>
      </c>
      <c r="F44" s="140">
        <v>0</v>
      </c>
      <c r="G44" s="140">
        <v>0</v>
      </c>
      <c r="H44" s="140">
        <v>0</v>
      </c>
      <c r="I44" s="122">
        <f t="shared" si="21"/>
        <v>0.15882420999999999</v>
      </c>
      <c r="J44" s="122">
        <v>0</v>
      </c>
      <c r="K44" s="122">
        <v>0</v>
      </c>
      <c r="L44" s="122">
        <f>'10'!H44</f>
        <v>0.15882420999999999</v>
      </c>
      <c r="M44" s="122">
        <v>0</v>
      </c>
      <c r="N44" s="122">
        <v>0</v>
      </c>
      <c r="O44" s="214" t="e">
        <f t="shared" si="22"/>
        <v>#DIV/0!</v>
      </c>
      <c r="P44" s="122">
        <v>0</v>
      </c>
      <c r="Q44" s="213" t="s">
        <v>256</v>
      </c>
      <c r="R44" s="122">
        <v>0</v>
      </c>
      <c r="S44" s="213" t="s">
        <v>256</v>
      </c>
      <c r="T44" s="122">
        <v>0</v>
      </c>
      <c r="U44" s="214" t="e">
        <f t="shared" si="23"/>
        <v>#DIV/0!</v>
      </c>
      <c r="V44" s="122">
        <v>0</v>
      </c>
      <c r="W44" s="545" t="s">
        <v>256</v>
      </c>
      <c r="X44" s="170" t="str">
        <f>'10'!T45</f>
        <v>Строительство сетей для создания технической возможности ТП потребителей в соответствии с договорами на ТП</v>
      </c>
      <c r="Y44" s="62"/>
    </row>
    <row r="45" spans="1:25" s="546" customFormat="1" ht="72.75" customHeight="1">
      <c r="A45" s="123" t="s">
        <v>1158</v>
      </c>
      <c r="B45" s="508" t="s">
        <v>1163</v>
      </c>
      <c r="C45" s="119" t="s">
        <v>876</v>
      </c>
      <c r="D45" s="174"/>
      <c r="E45" s="140">
        <v>0</v>
      </c>
      <c r="F45" s="140">
        <v>0</v>
      </c>
      <c r="G45" s="140">
        <v>0</v>
      </c>
      <c r="H45" s="140">
        <v>0</v>
      </c>
      <c r="I45" s="122">
        <f t="shared" si="21"/>
        <v>2.7424779999999996E-2</v>
      </c>
      <c r="J45" s="122">
        <v>0</v>
      </c>
      <c r="K45" s="122">
        <v>0</v>
      </c>
      <c r="L45" s="122">
        <f>'10'!H45</f>
        <v>2.7424779999999996E-2</v>
      </c>
      <c r="M45" s="122">
        <v>0</v>
      </c>
      <c r="N45" s="122">
        <v>0</v>
      </c>
      <c r="O45" s="214" t="e">
        <f t="shared" si="22"/>
        <v>#DIV/0!</v>
      </c>
      <c r="P45" s="122">
        <v>0</v>
      </c>
      <c r="Q45" s="213" t="s">
        <v>256</v>
      </c>
      <c r="R45" s="122">
        <v>0</v>
      </c>
      <c r="S45" s="213" t="s">
        <v>256</v>
      </c>
      <c r="T45" s="122">
        <v>0</v>
      </c>
      <c r="U45" s="214" t="e">
        <f t="shared" si="23"/>
        <v>#DIV/0!</v>
      </c>
      <c r="V45" s="122">
        <v>0</v>
      </c>
      <c r="W45" s="545" t="s">
        <v>256</v>
      </c>
      <c r="X45" s="170" t="str">
        <f>'10'!T45</f>
        <v>Строительство сетей для создания технической возможности ТП потребителей в соответствии с договорами на ТП</v>
      </c>
      <c r="Y45" s="62"/>
    </row>
    <row r="46" spans="1:25" s="151" customFormat="1" ht="54.75" customHeight="1">
      <c r="A46" s="123" t="s">
        <v>1158</v>
      </c>
      <c r="B46" s="508" t="s">
        <v>1164</v>
      </c>
      <c r="C46" s="119" t="s">
        <v>876</v>
      </c>
      <c r="D46" s="174"/>
      <c r="E46" s="140">
        <v>0</v>
      </c>
      <c r="F46" s="140">
        <v>0</v>
      </c>
      <c r="G46" s="140">
        <v>0</v>
      </c>
      <c r="H46" s="140">
        <v>0</v>
      </c>
      <c r="I46" s="122">
        <f t="shared" si="21"/>
        <v>0</v>
      </c>
      <c r="J46" s="122">
        <v>0</v>
      </c>
      <c r="K46" s="122">
        <v>0</v>
      </c>
      <c r="L46" s="122">
        <f>'10'!H46</f>
        <v>0</v>
      </c>
      <c r="M46" s="122">
        <v>0</v>
      </c>
      <c r="N46" s="122">
        <v>0</v>
      </c>
      <c r="O46" s="214" t="e">
        <f t="shared" si="2"/>
        <v>#DIV/0!</v>
      </c>
      <c r="P46" s="122">
        <v>0</v>
      </c>
      <c r="Q46" s="213" t="s">
        <v>256</v>
      </c>
      <c r="R46" s="122">
        <v>0</v>
      </c>
      <c r="S46" s="213" t="s">
        <v>256</v>
      </c>
      <c r="T46" s="122">
        <v>0</v>
      </c>
      <c r="U46" s="214" t="e">
        <f t="shared" si="6"/>
        <v>#DIV/0!</v>
      </c>
      <c r="V46" s="122">
        <v>0</v>
      </c>
      <c r="W46" s="163" t="s">
        <v>256</v>
      </c>
      <c r="X46" s="170" t="str">
        <f>'10'!T46</f>
        <v>Строительство сетей для создания технической возможности ТП потребителей в соответствии с договорами на ТП</v>
      </c>
      <c r="Y46" s="62"/>
    </row>
    <row r="47" spans="1:25" s="65" customFormat="1" ht="78.75">
      <c r="A47" s="199" t="s">
        <v>392</v>
      </c>
      <c r="B47" s="509" t="s">
        <v>893</v>
      </c>
      <c r="C47" s="198" t="s">
        <v>876</v>
      </c>
      <c r="D47" s="173">
        <f t="shared" si="16"/>
        <v>0</v>
      </c>
      <c r="E47" s="148">
        <v>0</v>
      </c>
      <c r="F47" s="148">
        <v>0</v>
      </c>
      <c r="G47" s="148">
        <v>0</v>
      </c>
      <c r="H47" s="148">
        <v>0</v>
      </c>
      <c r="I47" s="143">
        <f t="shared" si="21"/>
        <v>1.0540949123999999</v>
      </c>
      <c r="J47" s="143">
        <v>0</v>
      </c>
      <c r="K47" s="143">
        <v>0</v>
      </c>
      <c r="L47" s="143">
        <f>SUM(L48:L53)</f>
        <v>1.0540949123999999</v>
      </c>
      <c r="M47" s="143">
        <v>0</v>
      </c>
      <c r="N47" s="143">
        <f t="shared" si="10"/>
        <v>-1.0540949123999999</v>
      </c>
      <c r="O47" s="214" t="e">
        <f t="shared" si="2"/>
        <v>#DIV/0!</v>
      </c>
      <c r="P47" s="143">
        <f t="shared" si="3"/>
        <v>0</v>
      </c>
      <c r="Q47" s="215" t="s">
        <v>256</v>
      </c>
      <c r="R47" s="143">
        <f t="shared" si="4"/>
        <v>0</v>
      </c>
      <c r="S47" s="215" t="s">
        <v>256</v>
      </c>
      <c r="T47" s="143">
        <f t="shared" si="5"/>
        <v>-1.0540949123999999</v>
      </c>
      <c r="U47" s="214" t="e">
        <f t="shared" si="6"/>
        <v>#DIV/0!</v>
      </c>
      <c r="V47" s="143">
        <f t="shared" si="7"/>
        <v>0</v>
      </c>
      <c r="W47" s="163" t="s">
        <v>256</v>
      </c>
      <c r="X47" s="136">
        <f>'10'!T47</f>
        <v>0</v>
      </c>
      <c r="Y47" s="157"/>
    </row>
    <row r="48" spans="1:25" s="152" customFormat="1" ht="63">
      <c r="A48" s="203" t="s">
        <v>1094</v>
      </c>
      <c r="B48" s="510" t="s">
        <v>1095</v>
      </c>
      <c r="C48" s="202" t="s">
        <v>876</v>
      </c>
      <c r="D48" s="174"/>
      <c r="E48" s="140">
        <v>0</v>
      </c>
      <c r="F48" s="140">
        <v>0</v>
      </c>
      <c r="G48" s="140">
        <v>0</v>
      </c>
      <c r="H48" s="140">
        <v>0</v>
      </c>
      <c r="I48" s="122">
        <f t="shared" ref="I48:I53" si="26">SUM(J48:M48)</f>
        <v>0.20393600000000001</v>
      </c>
      <c r="J48" s="122">
        <v>0</v>
      </c>
      <c r="K48" s="122">
        <v>0</v>
      </c>
      <c r="L48" s="122">
        <f>'10'!H48</f>
        <v>0.20393600000000001</v>
      </c>
      <c r="M48" s="122">
        <v>0</v>
      </c>
      <c r="N48" s="122">
        <v>0</v>
      </c>
      <c r="O48" s="214" t="e">
        <f t="shared" si="2"/>
        <v>#DIV/0!</v>
      </c>
      <c r="P48" s="122">
        <v>0</v>
      </c>
      <c r="Q48" s="213" t="s">
        <v>256</v>
      </c>
      <c r="R48" s="122">
        <v>0</v>
      </c>
      <c r="S48" s="213" t="s">
        <v>256</v>
      </c>
      <c r="T48" s="122">
        <v>0</v>
      </c>
      <c r="U48" s="214" t="e">
        <f t="shared" si="6"/>
        <v>#DIV/0!</v>
      </c>
      <c r="V48" s="122">
        <v>0</v>
      </c>
      <c r="W48" s="163" t="s">
        <v>256</v>
      </c>
      <c r="X48" s="170" t="str">
        <f>'10'!T48</f>
        <v>Строительство сетей для создания технической возможности ТП потребителей в соответствии с договорами на ТП</v>
      </c>
      <c r="Y48" s="62"/>
    </row>
    <row r="49" spans="1:25" s="152" customFormat="1" ht="63">
      <c r="A49" s="203" t="s">
        <v>1096</v>
      </c>
      <c r="B49" s="510" t="s">
        <v>1103</v>
      </c>
      <c r="C49" s="202" t="s">
        <v>876</v>
      </c>
      <c r="D49" s="174"/>
      <c r="E49" s="140">
        <v>0</v>
      </c>
      <c r="F49" s="140">
        <v>0</v>
      </c>
      <c r="G49" s="140">
        <v>0</v>
      </c>
      <c r="H49" s="140">
        <v>0</v>
      </c>
      <c r="I49" s="122">
        <f t="shared" si="26"/>
        <v>3.874317E-2</v>
      </c>
      <c r="J49" s="122">
        <v>0</v>
      </c>
      <c r="K49" s="122">
        <v>0</v>
      </c>
      <c r="L49" s="122">
        <f>'10'!H49</f>
        <v>3.874317E-2</v>
      </c>
      <c r="M49" s="122">
        <v>0</v>
      </c>
      <c r="N49" s="122">
        <v>0</v>
      </c>
      <c r="O49" s="214" t="e">
        <f t="shared" si="2"/>
        <v>#DIV/0!</v>
      </c>
      <c r="P49" s="122">
        <v>0</v>
      </c>
      <c r="Q49" s="213" t="s">
        <v>256</v>
      </c>
      <c r="R49" s="122">
        <v>0</v>
      </c>
      <c r="S49" s="213" t="s">
        <v>256</v>
      </c>
      <c r="T49" s="122">
        <v>0</v>
      </c>
      <c r="U49" s="214" t="e">
        <f t="shared" si="6"/>
        <v>#DIV/0!</v>
      </c>
      <c r="V49" s="122">
        <v>0</v>
      </c>
      <c r="W49" s="163" t="s">
        <v>256</v>
      </c>
      <c r="X49" s="170" t="str">
        <f>'10'!T50</f>
        <v>Строительство сетей для создания технической возможности ТП потребителей в соответствии с договорами на ТП</v>
      </c>
      <c r="Y49" s="62"/>
    </row>
    <row r="50" spans="1:25" s="152" customFormat="1" ht="63">
      <c r="A50" s="203" t="s">
        <v>1097</v>
      </c>
      <c r="B50" s="510" t="s">
        <v>1149</v>
      </c>
      <c r="C50" s="202" t="s">
        <v>876</v>
      </c>
      <c r="D50" s="174"/>
      <c r="E50" s="140">
        <v>0</v>
      </c>
      <c r="F50" s="140">
        <v>0</v>
      </c>
      <c r="G50" s="140">
        <v>0</v>
      </c>
      <c r="H50" s="140">
        <v>0</v>
      </c>
      <c r="I50" s="122">
        <f>SUM(J50:M50)</f>
        <v>0.14472301240000002</v>
      </c>
      <c r="J50" s="122">
        <v>0</v>
      </c>
      <c r="K50" s="122">
        <v>0</v>
      </c>
      <c r="L50" s="122">
        <f>'10'!H50</f>
        <v>0.14472301240000002</v>
      </c>
      <c r="M50" s="122">
        <v>0</v>
      </c>
      <c r="N50" s="122">
        <v>0</v>
      </c>
      <c r="O50" s="214" t="e">
        <f t="shared" si="2"/>
        <v>#DIV/0!</v>
      </c>
      <c r="P50" s="122">
        <v>0</v>
      </c>
      <c r="Q50" s="213" t="s">
        <v>256</v>
      </c>
      <c r="R50" s="122">
        <v>0</v>
      </c>
      <c r="S50" s="213" t="s">
        <v>256</v>
      </c>
      <c r="T50" s="122">
        <v>0</v>
      </c>
      <c r="U50" s="214" t="e">
        <f t="shared" si="6"/>
        <v>#DIV/0!</v>
      </c>
      <c r="V50" s="122">
        <v>0</v>
      </c>
      <c r="W50" s="163" t="s">
        <v>256</v>
      </c>
      <c r="X50" s="170" t="str">
        <f>'10'!T51</f>
        <v>Строительство сетей для создания технической возможности ТП потребителей в соответствии с договорами на ТП</v>
      </c>
      <c r="Y50" s="62"/>
    </row>
    <row r="51" spans="1:25" s="152" customFormat="1" ht="63">
      <c r="A51" s="203" t="s">
        <v>1098</v>
      </c>
      <c r="B51" s="510" t="s">
        <v>1151</v>
      </c>
      <c r="C51" s="202" t="s">
        <v>876</v>
      </c>
      <c r="D51" s="174"/>
      <c r="E51" s="140">
        <v>0</v>
      </c>
      <c r="F51" s="140">
        <v>0</v>
      </c>
      <c r="G51" s="140">
        <v>0</v>
      </c>
      <c r="H51" s="140">
        <v>0</v>
      </c>
      <c r="I51" s="122">
        <f t="shared" si="26"/>
        <v>5.1999999999999998E-2</v>
      </c>
      <c r="J51" s="122">
        <v>0</v>
      </c>
      <c r="K51" s="122">
        <v>0</v>
      </c>
      <c r="L51" s="122">
        <f>'10'!H51</f>
        <v>5.1999999999999998E-2</v>
      </c>
      <c r="M51" s="122">
        <v>0</v>
      </c>
      <c r="N51" s="122">
        <v>0</v>
      </c>
      <c r="O51" s="214" t="e">
        <f t="shared" si="2"/>
        <v>#DIV/0!</v>
      </c>
      <c r="P51" s="122">
        <v>0</v>
      </c>
      <c r="Q51" s="213" t="s">
        <v>256</v>
      </c>
      <c r="R51" s="122">
        <v>0</v>
      </c>
      <c r="S51" s="213" t="s">
        <v>256</v>
      </c>
      <c r="T51" s="122">
        <v>0</v>
      </c>
      <c r="U51" s="214" t="e">
        <f t="shared" si="6"/>
        <v>#DIV/0!</v>
      </c>
      <c r="V51" s="122">
        <v>0</v>
      </c>
      <c r="W51" s="163" t="s">
        <v>256</v>
      </c>
      <c r="X51" s="170" t="str">
        <f>'10'!T53</f>
        <v>Строительство сетей для создания технической возможности ТП потребителей в соответствии с договорами на ТП</v>
      </c>
      <c r="Y51" s="62"/>
    </row>
    <row r="52" spans="1:25" s="152" customFormat="1" ht="63">
      <c r="A52" s="203" t="s">
        <v>1099</v>
      </c>
      <c r="B52" s="510" t="s">
        <v>1150</v>
      </c>
      <c r="C52" s="202" t="s">
        <v>876</v>
      </c>
      <c r="D52" s="174"/>
      <c r="E52" s="140">
        <v>0</v>
      </c>
      <c r="F52" s="140">
        <v>0</v>
      </c>
      <c r="G52" s="140">
        <v>0</v>
      </c>
      <c r="H52" s="140">
        <v>0</v>
      </c>
      <c r="I52" s="122">
        <f t="shared" ref="I52" si="27">SUM(J52:M52)</f>
        <v>0.37317107999999999</v>
      </c>
      <c r="J52" s="122">
        <v>0</v>
      </c>
      <c r="K52" s="122">
        <v>0</v>
      </c>
      <c r="L52" s="122">
        <f>'10'!H52</f>
        <v>0.37317107999999999</v>
      </c>
      <c r="M52" s="122">
        <v>0</v>
      </c>
      <c r="N52" s="122">
        <v>0</v>
      </c>
      <c r="O52" s="214" t="e">
        <f t="shared" ref="O52" si="28">I52/D52*100</f>
        <v>#DIV/0!</v>
      </c>
      <c r="P52" s="122">
        <v>0</v>
      </c>
      <c r="Q52" s="213" t="s">
        <v>256</v>
      </c>
      <c r="R52" s="122">
        <v>0</v>
      </c>
      <c r="S52" s="213" t="s">
        <v>256</v>
      </c>
      <c r="T52" s="122">
        <v>0</v>
      </c>
      <c r="U52" s="214" t="e">
        <f t="shared" ref="U52" si="29">L52/G52*100</f>
        <v>#DIV/0!</v>
      </c>
      <c r="V52" s="122">
        <v>0</v>
      </c>
      <c r="W52" s="512" t="s">
        <v>256</v>
      </c>
      <c r="X52" s="170" t="str">
        <f>'10'!T48</f>
        <v>Строительство сетей для создания технической возможности ТП потребителей в соответствии с договорами на ТП</v>
      </c>
      <c r="Y52" s="62"/>
    </row>
    <row r="53" spans="1:25" s="152" customFormat="1" ht="63">
      <c r="A53" s="203" t="s">
        <v>1152</v>
      </c>
      <c r="B53" s="510" t="s">
        <v>1153</v>
      </c>
      <c r="C53" s="202" t="s">
        <v>876</v>
      </c>
      <c r="D53" s="174"/>
      <c r="E53" s="140">
        <v>0</v>
      </c>
      <c r="F53" s="140">
        <v>0</v>
      </c>
      <c r="G53" s="140">
        <v>0</v>
      </c>
      <c r="H53" s="140">
        <v>0</v>
      </c>
      <c r="I53" s="122">
        <f t="shared" si="26"/>
        <v>0.24152165</v>
      </c>
      <c r="J53" s="122">
        <v>0</v>
      </c>
      <c r="K53" s="122">
        <v>0</v>
      </c>
      <c r="L53" s="122">
        <f>'10'!H53</f>
        <v>0.24152165</v>
      </c>
      <c r="M53" s="122">
        <v>0</v>
      </c>
      <c r="N53" s="122">
        <v>0</v>
      </c>
      <c r="O53" s="214" t="e">
        <f t="shared" si="2"/>
        <v>#DIV/0!</v>
      </c>
      <c r="P53" s="122">
        <v>0</v>
      </c>
      <c r="Q53" s="213" t="s">
        <v>256</v>
      </c>
      <c r="R53" s="122">
        <v>0</v>
      </c>
      <c r="S53" s="213" t="s">
        <v>256</v>
      </c>
      <c r="T53" s="122">
        <v>0</v>
      </c>
      <c r="U53" s="214" t="e">
        <f t="shared" si="6"/>
        <v>#DIV/0!</v>
      </c>
      <c r="V53" s="122">
        <v>0</v>
      </c>
      <c r="W53" s="163" t="s">
        <v>256</v>
      </c>
      <c r="X53" s="170" t="str">
        <f>'10'!T49</f>
        <v>Строительство сетей для создания технической возможности ТП потребителей в соответствии с договорами на ТП</v>
      </c>
      <c r="Y53" s="62"/>
    </row>
    <row r="54" spans="1:25" ht="63">
      <c r="A54" s="199" t="s">
        <v>394</v>
      </c>
      <c r="B54" s="509" t="s">
        <v>894</v>
      </c>
      <c r="C54" s="202" t="s">
        <v>876</v>
      </c>
      <c r="D54" s="174">
        <f t="shared" si="16"/>
        <v>0</v>
      </c>
      <c r="E54" s="140">
        <v>0</v>
      </c>
      <c r="F54" s="140">
        <v>0</v>
      </c>
      <c r="G54" s="140">
        <v>0</v>
      </c>
      <c r="H54" s="140">
        <v>0</v>
      </c>
      <c r="I54" s="122">
        <f t="shared" si="17"/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f t="shared" si="10"/>
        <v>0</v>
      </c>
      <c r="O54" s="214" t="e">
        <f t="shared" si="2"/>
        <v>#DIV/0!</v>
      </c>
      <c r="P54" s="122">
        <f t="shared" si="3"/>
        <v>0</v>
      </c>
      <c r="Q54" s="213" t="s">
        <v>256</v>
      </c>
      <c r="R54" s="122">
        <f t="shared" si="4"/>
        <v>0</v>
      </c>
      <c r="S54" s="213" t="s">
        <v>256</v>
      </c>
      <c r="T54" s="122">
        <f t="shared" si="5"/>
        <v>0</v>
      </c>
      <c r="U54" s="214" t="e">
        <f t="shared" si="6"/>
        <v>#DIV/0!</v>
      </c>
      <c r="V54" s="122">
        <f t="shared" si="7"/>
        <v>0</v>
      </c>
      <c r="W54" s="163" t="s">
        <v>256</v>
      </c>
      <c r="X54" s="170"/>
      <c r="Y54" s="62"/>
    </row>
    <row r="55" spans="1:25" ht="47.25">
      <c r="A55" s="201" t="s">
        <v>744</v>
      </c>
      <c r="B55" s="509" t="s">
        <v>895</v>
      </c>
      <c r="C55" s="202" t="s">
        <v>876</v>
      </c>
      <c r="D55" s="174">
        <f t="shared" si="16"/>
        <v>0</v>
      </c>
      <c r="E55" s="140">
        <v>0</v>
      </c>
      <c r="F55" s="140">
        <v>0</v>
      </c>
      <c r="G55" s="140">
        <v>0</v>
      </c>
      <c r="H55" s="140">
        <v>0</v>
      </c>
      <c r="I55" s="122">
        <f>I56+I57</f>
        <v>0</v>
      </c>
      <c r="J55" s="122">
        <f>J56+J57</f>
        <v>0</v>
      </c>
      <c r="K55" s="122">
        <f>K56+K57</f>
        <v>0</v>
      </c>
      <c r="L55" s="122">
        <f>L56+L57</f>
        <v>0</v>
      </c>
      <c r="M55" s="122">
        <f>M56+M57</f>
        <v>0</v>
      </c>
      <c r="N55" s="122">
        <f t="shared" si="10"/>
        <v>0</v>
      </c>
      <c r="O55" s="214" t="e">
        <f t="shared" si="2"/>
        <v>#DIV/0!</v>
      </c>
      <c r="P55" s="122">
        <f t="shared" si="3"/>
        <v>0</v>
      </c>
      <c r="Q55" s="213" t="s">
        <v>256</v>
      </c>
      <c r="R55" s="122">
        <f t="shared" si="4"/>
        <v>0</v>
      </c>
      <c r="S55" s="213" t="s">
        <v>256</v>
      </c>
      <c r="T55" s="122">
        <f t="shared" si="5"/>
        <v>0</v>
      </c>
      <c r="U55" s="214" t="e">
        <f t="shared" si="6"/>
        <v>#DIV/0!</v>
      </c>
      <c r="V55" s="122">
        <f t="shared" si="7"/>
        <v>0</v>
      </c>
      <c r="W55" s="163" t="s">
        <v>256</v>
      </c>
      <c r="X55" s="136" t="e">
        <f>'10'!#REF!</f>
        <v>#REF!</v>
      </c>
      <c r="Y55" s="62"/>
    </row>
    <row r="56" spans="1:25" ht="78.75">
      <c r="A56" s="199" t="s">
        <v>415</v>
      </c>
      <c r="B56" s="509" t="s">
        <v>896</v>
      </c>
      <c r="C56" s="202" t="s">
        <v>876</v>
      </c>
      <c r="D56" s="174">
        <f t="shared" si="16"/>
        <v>0</v>
      </c>
      <c r="E56" s="140">
        <v>0</v>
      </c>
      <c r="F56" s="140">
        <v>0</v>
      </c>
      <c r="G56" s="140">
        <v>0</v>
      </c>
      <c r="H56" s="140">
        <v>0</v>
      </c>
      <c r="I56" s="122">
        <f>SUM(J56:M56)</f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f t="shared" si="10"/>
        <v>0</v>
      </c>
      <c r="O56" s="214" t="e">
        <f t="shared" si="2"/>
        <v>#DIV/0!</v>
      </c>
      <c r="P56" s="122">
        <f t="shared" si="3"/>
        <v>0</v>
      </c>
      <c r="Q56" s="213" t="s">
        <v>256</v>
      </c>
      <c r="R56" s="122">
        <f t="shared" si="4"/>
        <v>0</v>
      </c>
      <c r="S56" s="213" t="s">
        <v>256</v>
      </c>
      <c r="T56" s="122">
        <f t="shared" si="5"/>
        <v>0</v>
      </c>
      <c r="U56" s="214" t="e">
        <f t="shared" si="6"/>
        <v>#DIV/0!</v>
      </c>
      <c r="V56" s="122">
        <f t="shared" si="7"/>
        <v>0</v>
      </c>
      <c r="W56" s="163" t="s">
        <v>256</v>
      </c>
      <c r="X56" s="136" t="e">
        <f>'10'!#REF!</f>
        <v>#REF!</v>
      </c>
      <c r="Y56" s="62"/>
    </row>
    <row r="57" spans="1:25" ht="47.25">
      <c r="A57" s="199" t="s">
        <v>416</v>
      </c>
      <c r="B57" s="509" t="s">
        <v>897</v>
      </c>
      <c r="C57" s="202" t="s">
        <v>876</v>
      </c>
      <c r="D57" s="174">
        <f t="shared" si="16"/>
        <v>0</v>
      </c>
      <c r="E57" s="140">
        <v>0</v>
      </c>
      <c r="F57" s="140">
        <v>0</v>
      </c>
      <c r="G57" s="140">
        <v>0</v>
      </c>
      <c r="H57" s="140">
        <v>0</v>
      </c>
      <c r="I57" s="122">
        <f>SUM(J57:M57)</f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f t="shared" si="10"/>
        <v>0</v>
      </c>
      <c r="O57" s="214" t="e">
        <f t="shared" si="2"/>
        <v>#DIV/0!</v>
      </c>
      <c r="P57" s="122">
        <f t="shared" si="3"/>
        <v>0</v>
      </c>
      <c r="Q57" s="213" t="s">
        <v>256</v>
      </c>
      <c r="R57" s="122">
        <f t="shared" si="4"/>
        <v>0</v>
      </c>
      <c r="S57" s="213" t="s">
        <v>256</v>
      </c>
      <c r="T57" s="122">
        <f t="shared" si="5"/>
        <v>0</v>
      </c>
      <c r="U57" s="214" t="e">
        <f t="shared" si="6"/>
        <v>#DIV/0!</v>
      </c>
      <c r="V57" s="122">
        <f t="shared" si="7"/>
        <v>0</v>
      </c>
      <c r="W57" s="163" t="s">
        <v>256</v>
      </c>
      <c r="X57" s="136" t="e">
        <f>'10'!#REF!</f>
        <v>#REF!</v>
      </c>
      <c r="Y57" s="62"/>
    </row>
    <row r="58" spans="1:25" ht="63">
      <c r="A58" s="201" t="s">
        <v>745</v>
      </c>
      <c r="B58" s="509" t="s">
        <v>898</v>
      </c>
      <c r="C58" s="202" t="s">
        <v>876</v>
      </c>
      <c r="D58" s="174">
        <f t="shared" si="16"/>
        <v>0</v>
      </c>
      <c r="E58" s="140">
        <v>0</v>
      </c>
      <c r="F58" s="140">
        <v>0</v>
      </c>
      <c r="G58" s="140">
        <v>0</v>
      </c>
      <c r="H58" s="140">
        <v>0</v>
      </c>
      <c r="I58" s="122">
        <f>I59+I60+I61+I62+I63+I64+I65+I66</f>
        <v>0</v>
      </c>
      <c r="J58" s="122">
        <f>J59+J60+J61+J62+J63+J64+J65+J66</f>
        <v>0</v>
      </c>
      <c r="K58" s="122">
        <f>K59+K60+K61+K62+K63+K64+K65+K66</f>
        <v>0</v>
      </c>
      <c r="L58" s="122">
        <f>L59+L60+L61+L62+L63+L64+L65+L66</f>
        <v>0</v>
      </c>
      <c r="M58" s="122">
        <f>M59+M60+M61+M62+M63+M64+M65+M66</f>
        <v>0</v>
      </c>
      <c r="N58" s="122">
        <f t="shared" si="10"/>
        <v>0</v>
      </c>
      <c r="O58" s="214" t="e">
        <f t="shared" si="2"/>
        <v>#DIV/0!</v>
      </c>
      <c r="P58" s="122">
        <f t="shared" si="3"/>
        <v>0</v>
      </c>
      <c r="Q58" s="213" t="s">
        <v>256</v>
      </c>
      <c r="R58" s="122">
        <f t="shared" si="4"/>
        <v>0</v>
      </c>
      <c r="S58" s="213" t="s">
        <v>256</v>
      </c>
      <c r="T58" s="122">
        <f t="shared" si="5"/>
        <v>0</v>
      </c>
      <c r="U58" s="214" t="e">
        <f t="shared" si="6"/>
        <v>#DIV/0!</v>
      </c>
      <c r="V58" s="122">
        <f t="shared" si="7"/>
        <v>0</v>
      </c>
      <c r="W58" s="163" t="s">
        <v>256</v>
      </c>
      <c r="X58" s="136" t="e">
        <f>'10'!#REF!</f>
        <v>#REF!</v>
      </c>
      <c r="Y58" s="62"/>
    </row>
    <row r="59" spans="1:25" ht="47.25">
      <c r="A59" s="199" t="s">
        <v>899</v>
      </c>
      <c r="B59" s="509" t="s">
        <v>900</v>
      </c>
      <c r="C59" s="202" t="s">
        <v>876</v>
      </c>
      <c r="D59" s="174">
        <f t="shared" si="16"/>
        <v>0</v>
      </c>
      <c r="E59" s="140">
        <v>0</v>
      </c>
      <c r="F59" s="140">
        <v>0</v>
      </c>
      <c r="G59" s="140">
        <v>0</v>
      </c>
      <c r="H59" s="140">
        <v>0</v>
      </c>
      <c r="I59" s="122">
        <f t="shared" ref="I59:I66" si="30">SUM(J59:M59)</f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f t="shared" si="10"/>
        <v>0</v>
      </c>
      <c r="O59" s="214" t="e">
        <f t="shared" si="2"/>
        <v>#DIV/0!</v>
      </c>
      <c r="P59" s="122">
        <f t="shared" si="3"/>
        <v>0</v>
      </c>
      <c r="Q59" s="213" t="s">
        <v>256</v>
      </c>
      <c r="R59" s="122">
        <f t="shared" si="4"/>
        <v>0</v>
      </c>
      <c r="S59" s="213" t="s">
        <v>256</v>
      </c>
      <c r="T59" s="122">
        <f t="shared" si="5"/>
        <v>0</v>
      </c>
      <c r="U59" s="214" t="e">
        <f t="shared" si="6"/>
        <v>#DIV/0!</v>
      </c>
      <c r="V59" s="122">
        <f t="shared" si="7"/>
        <v>0</v>
      </c>
      <c r="W59" s="163" t="s">
        <v>256</v>
      </c>
      <c r="X59" s="136" t="e">
        <f>'10'!#REF!</f>
        <v>#REF!</v>
      </c>
      <c r="Y59" s="62"/>
    </row>
    <row r="60" spans="1:25" ht="126">
      <c r="A60" s="199" t="s">
        <v>899</v>
      </c>
      <c r="B60" s="509" t="s">
        <v>901</v>
      </c>
      <c r="C60" s="202" t="s">
        <v>876</v>
      </c>
      <c r="D60" s="174">
        <f t="shared" si="16"/>
        <v>0</v>
      </c>
      <c r="E60" s="140">
        <v>0</v>
      </c>
      <c r="F60" s="140">
        <v>0</v>
      </c>
      <c r="G60" s="140">
        <v>0</v>
      </c>
      <c r="H60" s="140">
        <v>0</v>
      </c>
      <c r="I60" s="122">
        <f t="shared" si="30"/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f t="shared" si="10"/>
        <v>0</v>
      </c>
      <c r="O60" s="214" t="e">
        <f t="shared" si="2"/>
        <v>#DIV/0!</v>
      </c>
      <c r="P60" s="122">
        <f t="shared" si="3"/>
        <v>0</v>
      </c>
      <c r="Q60" s="213" t="s">
        <v>256</v>
      </c>
      <c r="R60" s="122">
        <f t="shared" si="4"/>
        <v>0</v>
      </c>
      <c r="S60" s="213" t="s">
        <v>256</v>
      </c>
      <c r="T60" s="122">
        <f t="shared" si="5"/>
        <v>0</v>
      </c>
      <c r="U60" s="214" t="e">
        <f t="shared" si="6"/>
        <v>#DIV/0!</v>
      </c>
      <c r="V60" s="122">
        <f t="shared" si="7"/>
        <v>0</v>
      </c>
      <c r="W60" s="163" t="s">
        <v>256</v>
      </c>
      <c r="X60" s="136" t="e">
        <f>'10'!#REF!</f>
        <v>#REF!</v>
      </c>
      <c r="Y60" s="62"/>
    </row>
    <row r="61" spans="1:25" ht="110.25">
      <c r="A61" s="199" t="s">
        <v>899</v>
      </c>
      <c r="B61" s="509" t="s">
        <v>902</v>
      </c>
      <c r="C61" s="202" t="s">
        <v>876</v>
      </c>
      <c r="D61" s="174">
        <f t="shared" si="16"/>
        <v>0</v>
      </c>
      <c r="E61" s="140">
        <v>0</v>
      </c>
      <c r="F61" s="140">
        <v>0</v>
      </c>
      <c r="G61" s="140">
        <v>0</v>
      </c>
      <c r="H61" s="140">
        <v>0</v>
      </c>
      <c r="I61" s="122">
        <f t="shared" si="30"/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f t="shared" si="10"/>
        <v>0</v>
      </c>
      <c r="O61" s="214" t="e">
        <f t="shared" si="2"/>
        <v>#DIV/0!</v>
      </c>
      <c r="P61" s="122">
        <f t="shared" si="3"/>
        <v>0</v>
      </c>
      <c r="Q61" s="213" t="s">
        <v>256</v>
      </c>
      <c r="R61" s="122">
        <f t="shared" si="4"/>
        <v>0</v>
      </c>
      <c r="S61" s="213" t="s">
        <v>256</v>
      </c>
      <c r="T61" s="122">
        <f t="shared" si="5"/>
        <v>0</v>
      </c>
      <c r="U61" s="214" t="e">
        <f t="shared" si="6"/>
        <v>#DIV/0!</v>
      </c>
      <c r="V61" s="122">
        <f t="shared" si="7"/>
        <v>0</v>
      </c>
      <c r="W61" s="163" t="s">
        <v>256</v>
      </c>
      <c r="X61" s="136" t="e">
        <f>'10'!#REF!</f>
        <v>#REF!</v>
      </c>
      <c r="Y61" s="62"/>
    </row>
    <row r="62" spans="1:25" ht="126">
      <c r="A62" s="199" t="s">
        <v>899</v>
      </c>
      <c r="B62" s="509" t="s">
        <v>903</v>
      </c>
      <c r="C62" s="202" t="s">
        <v>876</v>
      </c>
      <c r="D62" s="174">
        <f t="shared" si="16"/>
        <v>0</v>
      </c>
      <c r="E62" s="140">
        <v>0</v>
      </c>
      <c r="F62" s="140">
        <v>0</v>
      </c>
      <c r="G62" s="140">
        <v>0</v>
      </c>
      <c r="H62" s="140">
        <v>0</v>
      </c>
      <c r="I62" s="122">
        <f t="shared" si="30"/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f t="shared" si="10"/>
        <v>0</v>
      </c>
      <c r="O62" s="214" t="e">
        <f t="shared" si="2"/>
        <v>#DIV/0!</v>
      </c>
      <c r="P62" s="122">
        <f t="shared" si="3"/>
        <v>0</v>
      </c>
      <c r="Q62" s="213" t="s">
        <v>256</v>
      </c>
      <c r="R62" s="122">
        <f t="shared" si="4"/>
        <v>0</v>
      </c>
      <c r="S62" s="213" t="s">
        <v>256</v>
      </c>
      <c r="T62" s="122">
        <f t="shared" si="5"/>
        <v>0</v>
      </c>
      <c r="U62" s="214" t="e">
        <f t="shared" si="6"/>
        <v>#DIV/0!</v>
      </c>
      <c r="V62" s="122">
        <f t="shared" si="7"/>
        <v>0</v>
      </c>
      <c r="W62" s="163" t="s">
        <v>256</v>
      </c>
      <c r="X62" s="136" t="e">
        <f>'10'!#REF!</f>
        <v>#REF!</v>
      </c>
      <c r="Y62" s="62"/>
    </row>
    <row r="63" spans="1:25" ht="47.25">
      <c r="A63" s="199" t="s">
        <v>904</v>
      </c>
      <c r="B63" s="509" t="s">
        <v>900</v>
      </c>
      <c r="C63" s="202" t="s">
        <v>876</v>
      </c>
      <c r="D63" s="174">
        <f t="shared" si="16"/>
        <v>0</v>
      </c>
      <c r="E63" s="140">
        <v>0</v>
      </c>
      <c r="F63" s="140">
        <v>0</v>
      </c>
      <c r="G63" s="140">
        <v>0</v>
      </c>
      <c r="H63" s="140">
        <v>0</v>
      </c>
      <c r="I63" s="122">
        <f t="shared" si="30"/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f t="shared" si="10"/>
        <v>0</v>
      </c>
      <c r="O63" s="214" t="e">
        <f t="shared" si="2"/>
        <v>#DIV/0!</v>
      </c>
      <c r="P63" s="122">
        <f t="shared" si="3"/>
        <v>0</v>
      </c>
      <c r="Q63" s="213" t="s">
        <v>256</v>
      </c>
      <c r="R63" s="122">
        <f t="shared" si="4"/>
        <v>0</v>
      </c>
      <c r="S63" s="213" t="s">
        <v>256</v>
      </c>
      <c r="T63" s="122">
        <f t="shared" si="5"/>
        <v>0</v>
      </c>
      <c r="U63" s="214" t="e">
        <f t="shared" si="6"/>
        <v>#DIV/0!</v>
      </c>
      <c r="V63" s="122">
        <f t="shared" si="7"/>
        <v>0</v>
      </c>
      <c r="W63" s="163" t="s">
        <v>256</v>
      </c>
      <c r="X63" s="136" t="e">
        <f>'10'!#REF!</f>
        <v>#REF!</v>
      </c>
      <c r="Y63" s="62"/>
    </row>
    <row r="64" spans="1:25" ht="126">
      <c r="A64" s="199" t="s">
        <v>904</v>
      </c>
      <c r="B64" s="509" t="s">
        <v>901</v>
      </c>
      <c r="C64" s="202" t="s">
        <v>876</v>
      </c>
      <c r="D64" s="174">
        <f t="shared" si="16"/>
        <v>0</v>
      </c>
      <c r="E64" s="140">
        <v>0</v>
      </c>
      <c r="F64" s="140">
        <v>0</v>
      </c>
      <c r="G64" s="140">
        <v>0</v>
      </c>
      <c r="H64" s="140">
        <v>0</v>
      </c>
      <c r="I64" s="122">
        <f t="shared" si="30"/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f t="shared" si="10"/>
        <v>0</v>
      </c>
      <c r="O64" s="214" t="e">
        <f t="shared" si="2"/>
        <v>#DIV/0!</v>
      </c>
      <c r="P64" s="122">
        <f t="shared" si="3"/>
        <v>0</v>
      </c>
      <c r="Q64" s="213" t="s">
        <v>256</v>
      </c>
      <c r="R64" s="122">
        <f t="shared" si="4"/>
        <v>0</v>
      </c>
      <c r="S64" s="213" t="s">
        <v>256</v>
      </c>
      <c r="T64" s="122">
        <f t="shared" si="5"/>
        <v>0</v>
      </c>
      <c r="U64" s="214" t="e">
        <f t="shared" si="6"/>
        <v>#DIV/0!</v>
      </c>
      <c r="V64" s="122">
        <f t="shared" si="7"/>
        <v>0</v>
      </c>
      <c r="W64" s="163" t="s">
        <v>256</v>
      </c>
      <c r="X64" s="136" t="e">
        <f>'10'!#REF!</f>
        <v>#REF!</v>
      </c>
      <c r="Y64" s="62"/>
    </row>
    <row r="65" spans="1:25" ht="110.25">
      <c r="A65" s="199" t="s">
        <v>904</v>
      </c>
      <c r="B65" s="509" t="s">
        <v>902</v>
      </c>
      <c r="C65" s="202" t="s">
        <v>876</v>
      </c>
      <c r="D65" s="174">
        <f t="shared" si="16"/>
        <v>0</v>
      </c>
      <c r="E65" s="140">
        <v>0</v>
      </c>
      <c r="F65" s="140">
        <v>0</v>
      </c>
      <c r="G65" s="140">
        <v>0</v>
      </c>
      <c r="H65" s="140">
        <v>0</v>
      </c>
      <c r="I65" s="122">
        <f t="shared" si="30"/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f t="shared" si="10"/>
        <v>0</v>
      </c>
      <c r="O65" s="214" t="e">
        <f t="shared" si="2"/>
        <v>#DIV/0!</v>
      </c>
      <c r="P65" s="122">
        <f t="shared" si="3"/>
        <v>0</v>
      </c>
      <c r="Q65" s="213" t="s">
        <v>256</v>
      </c>
      <c r="R65" s="122">
        <f t="shared" si="4"/>
        <v>0</v>
      </c>
      <c r="S65" s="213" t="s">
        <v>256</v>
      </c>
      <c r="T65" s="122">
        <f t="shared" si="5"/>
        <v>0</v>
      </c>
      <c r="U65" s="214" t="e">
        <f t="shared" si="6"/>
        <v>#DIV/0!</v>
      </c>
      <c r="V65" s="122">
        <f t="shared" si="7"/>
        <v>0</v>
      </c>
      <c r="W65" s="163" t="s">
        <v>256</v>
      </c>
      <c r="X65" s="136" t="e">
        <f>'10'!#REF!</f>
        <v>#REF!</v>
      </c>
      <c r="Y65" s="62"/>
    </row>
    <row r="66" spans="1:25" ht="126">
      <c r="A66" s="199" t="s">
        <v>904</v>
      </c>
      <c r="B66" s="509" t="s">
        <v>903</v>
      </c>
      <c r="C66" s="202" t="s">
        <v>876</v>
      </c>
      <c r="D66" s="174">
        <f t="shared" si="16"/>
        <v>0</v>
      </c>
      <c r="E66" s="140">
        <v>0</v>
      </c>
      <c r="F66" s="140">
        <v>0</v>
      </c>
      <c r="G66" s="140">
        <v>0</v>
      </c>
      <c r="H66" s="140">
        <v>0</v>
      </c>
      <c r="I66" s="122">
        <f t="shared" si="30"/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f t="shared" si="10"/>
        <v>0</v>
      </c>
      <c r="O66" s="214" t="e">
        <f t="shared" si="2"/>
        <v>#DIV/0!</v>
      </c>
      <c r="P66" s="122">
        <f t="shared" si="3"/>
        <v>0</v>
      </c>
      <c r="Q66" s="213" t="s">
        <v>256</v>
      </c>
      <c r="R66" s="122">
        <f t="shared" si="4"/>
        <v>0</v>
      </c>
      <c r="S66" s="213" t="s">
        <v>256</v>
      </c>
      <c r="T66" s="122">
        <f t="shared" si="5"/>
        <v>0</v>
      </c>
      <c r="U66" s="214" t="e">
        <f t="shared" si="6"/>
        <v>#DIV/0!</v>
      </c>
      <c r="V66" s="122">
        <f t="shared" si="7"/>
        <v>0</v>
      </c>
      <c r="W66" s="163" t="s">
        <v>256</v>
      </c>
      <c r="X66" s="136" t="e">
        <f>'10'!#REF!</f>
        <v>#REF!</v>
      </c>
      <c r="Y66" s="62"/>
    </row>
    <row r="67" spans="1:25" ht="94.5">
      <c r="A67" s="201" t="s">
        <v>905</v>
      </c>
      <c r="B67" s="509" t="s">
        <v>906</v>
      </c>
      <c r="C67" s="202" t="s">
        <v>876</v>
      </c>
      <c r="D67" s="174">
        <f t="shared" si="16"/>
        <v>0</v>
      </c>
      <c r="E67" s="140">
        <v>0</v>
      </c>
      <c r="F67" s="140">
        <v>0</v>
      </c>
      <c r="G67" s="140">
        <v>0</v>
      </c>
      <c r="H67" s="140">
        <v>0</v>
      </c>
      <c r="I67" s="122">
        <f>I68+I69</f>
        <v>0</v>
      </c>
      <c r="J67" s="122">
        <f>J68+J69</f>
        <v>0</v>
      </c>
      <c r="K67" s="122">
        <f>K68+K69</f>
        <v>0</v>
      </c>
      <c r="L67" s="122">
        <f>L68+L69</f>
        <v>0</v>
      </c>
      <c r="M67" s="122">
        <f>M68+M69</f>
        <v>0</v>
      </c>
      <c r="N67" s="122">
        <f t="shared" si="10"/>
        <v>0</v>
      </c>
      <c r="O67" s="214" t="e">
        <f t="shared" si="2"/>
        <v>#DIV/0!</v>
      </c>
      <c r="P67" s="122">
        <f t="shared" si="3"/>
        <v>0</v>
      </c>
      <c r="Q67" s="213" t="s">
        <v>256</v>
      </c>
      <c r="R67" s="122">
        <f t="shared" si="4"/>
        <v>0</v>
      </c>
      <c r="S67" s="213" t="s">
        <v>256</v>
      </c>
      <c r="T67" s="122">
        <f t="shared" si="5"/>
        <v>0</v>
      </c>
      <c r="U67" s="214" t="e">
        <f t="shared" si="6"/>
        <v>#DIV/0!</v>
      </c>
      <c r="V67" s="122">
        <f t="shared" si="7"/>
        <v>0</v>
      </c>
      <c r="W67" s="163" t="s">
        <v>256</v>
      </c>
      <c r="X67" s="136" t="e">
        <f>'10'!#REF!</f>
        <v>#REF!</v>
      </c>
      <c r="Y67" s="62"/>
    </row>
    <row r="68" spans="1:25" ht="110.25">
      <c r="A68" s="199" t="s">
        <v>907</v>
      </c>
      <c r="B68" s="509" t="s">
        <v>902</v>
      </c>
      <c r="C68" s="202" t="s">
        <v>876</v>
      </c>
      <c r="D68" s="174">
        <f t="shared" si="16"/>
        <v>0</v>
      </c>
      <c r="E68" s="140">
        <v>0</v>
      </c>
      <c r="F68" s="140">
        <v>0</v>
      </c>
      <c r="G68" s="140">
        <v>0</v>
      </c>
      <c r="H68" s="140">
        <v>0</v>
      </c>
      <c r="I68" s="122">
        <f>SUM(J68:M68)</f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f t="shared" si="10"/>
        <v>0</v>
      </c>
      <c r="O68" s="214" t="e">
        <f t="shared" si="2"/>
        <v>#DIV/0!</v>
      </c>
      <c r="P68" s="122">
        <f t="shared" si="3"/>
        <v>0</v>
      </c>
      <c r="Q68" s="213" t="s">
        <v>256</v>
      </c>
      <c r="R68" s="122">
        <f t="shared" si="4"/>
        <v>0</v>
      </c>
      <c r="S68" s="213" t="s">
        <v>256</v>
      </c>
      <c r="T68" s="122">
        <f t="shared" si="5"/>
        <v>0</v>
      </c>
      <c r="U68" s="214" t="e">
        <f t="shared" si="6"/>
        <v>#DIV/0!</v>
      </c>
      <c r="V68" s="122">
        <f t="shared" si="7"/>
        <v>0</v>
      </c>
      <c r="W68" s="163" t="s">
        <v>256</v>
      </c>
      <c r="X68" s="136" t="e">
        <f>'10'!#REF!</f>
        <v>#REF!</v>
      </c>
      <c r="Y68" s="62"/>
    </row>
    <row r="69" spans="1:25" ht="94.5">
      <c r="A69" s="199" t="s">
        <v>908</v>
      </c>
      <c r="B69" s="509" t="s">
        <v>909</v>
      </c>
      <c r="C69" s="202" t="s">
        <v>876</v>
      </c>
      <c r="D69" s="174">
        <f t="shared" si="16"/>
        <v>0</v>
      </c>
      <c r="E69" s="140">
        <v>0</v>
      </c>
      <c r="F69" s="140">
        <v>0</v>
      </c>
      <c r="G69" s="140">
        <v>0</v>
      </c>
      <c r="H69" s="140">
        <v>0</v>
      </c>
      <c r="I69" s="122">
        <f>SUM(J69:M69)</f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f t="shared" si="10"/>
        <v>0</v>
      </c>
      <c r="O69" s="214" t="e">
        <f t="shared" si="2"/>
        <v>#DIV/0!</v>
      </c>
      <c r="P69" s="122">
        <f t="shared" si="3"/>
        <v>0</v>
      </c>
      <c r="Q69" s="213" t="s">
        <v>256</v>
      </c>
      <c r="R69" s="122">
        <f t="shared" si="4"/>
        <v>0</v>
      </c>
      <c r="S69" s="213" t="s">
        <v>256</v>
      </c>
      <c r="T69" s="122">
        <f t="shared" si="5"/>
        <v>0</v>
      </c>
      <c r="U69" s="214" t="e">
        <f t="shared" si="6"/>
        <v>#DIV/0!</v>
      </c>
      <c r="V69" s="122">
        <f t="shared" si="7"/>
        <v>0</v>
      </c>
      <c r="W69" s="163" t="s">
        <v>256</v>
      </c>
      <c r="X69" s="136" t="e">
        <f>'10'!#REF!</f>
        <v>#REF!</v>
      </c>
      <c r="Y69" s="62"/>
    </row>
    <row r="70" spans="1:25" ht="47.25">
      <c r="A70" s="201" t="s">
        <v>910</v>
      </c>
      <c r="B70" s="509" t="s">
        <v>911</v>
      </c>
      <c r="C70" s="202" t="s">
        <v>876</v>
      </c>
      <c r="D70" s="174">
        <f>SUM(E70:H70)</f>
        <v>11.766400600000001</v>
      </c>
      <c r="E70" s="127">
        <v>0</v>
      </c>
      <c r="F70" s="127">
        <v>0</v>
      </c>
      <c r="G70" s="127">
        <v>7.6335999999999995</v>
      </c>
      <c r="H70" s="127">
        <f>H72+H77</f>
        <v>4.1328006000000004</v>
      </c>
      <c r="I70" s="122">
        <f>I71+I76+I84+I93</f>
        <v>5.6513455100000005</v>
      </c>
      <c r="J70" s="122">
        <f>J71+J76+J84+J93</f>
        <v>0</v>
      </c>
      <c r="K70" s="122">
        <f>K71+K76+K84+K93</f>
        <v>0</v>
      </c>
      <c r="L70" s="122">
        <f>L71+L76+L84+L93</f>
        <v>5.6513455100000005</v>
      </c>
      <c r="M70" s="122">
        <f>M71+M76+M84+M93</f>
        <v>0</v>
      </c>
      <c r="N70" s="122">
        <f t="shared" si="10"/>
        <v>6.1150550900000002</v>
      </c>
      <c r="O70" s="212">
        <f t="shared" si="2"/>
        <v>48.029518134883155</v>
      </c>
      <c r="P70" s="122">
        <f t="shared" si="3"/>
        <v>0</v>
      </c>
      <c r="Q70" s="213" t="s">
        <v>256</v>
      </c>
      <c r="R70" s="122">
        <f t="shared" si="4"/>
        <v>0</v>
      </c>
      <c r="S70" s="213" t="s">
        <v>256</v>
      </c>
      <c r="T70" s="122">
        <f t="shared" si="5"/>
        <v>1.982254489999999</v>
      </c>
      <c r="U70" s="212">
        <f t="shared" si="6"/>
        <v>74.032507728987639</v>
      </c>
      <c r="V70" s="122">
        <f t="shared" si="7"/>
        <v>4.1328006000000004</v>
      </c>
      <c r="W70" s="163" t="s">
        <v>256</v>
      </c>
      <c r="X70" s="136">
        <f>'10'!T54</f>
        <v>0</v>
      </c>
      <c r="Y70" s="62"/>
    </row>
    <row r="71" spans="1:25" ht="78.75">
      <c r="A71" s="201" t="s">
        <v>840</v>
      </c>
      <c r="B71" s="509" t="s">
        <v>912</v>
      </c>
      <c r="C71" s="202" t="s">
        <v>876</v>
      </c>
      <c r="D71" s="174">
        <f t="shared" si="16"/>
        <v>0</v>
      </c>
      <c r="E71" s="127">
        <v>0</v>
      </c>
      <c r="F71" s="127">
        <v>0</v>
      </c>
      <c r="G71" s="127">
        <v>0</v>
      </c>
      <c r="H71" s="127">
        <v>0</v>
      </c>
      <c r="I71" s="122">
        <f>I72+I75</f>
        <v>3.0182650300000002</v>
      </c>
      <c r="J71" s="122">
        <f>J72+J75</f>
        <v>0</v>
      </c>
      <c r="K71" s="122">
        <f>K72+K75</f>
        <v>0</v>
      </c>
      <c r="L71" s="122">
        <f>L72+L75</f>
        <v>3.0182650300000002</v>
      </c>
      <c r="M71" s="122">
        <f>M72+M75</f>
        <v>0</v>
      </c>
      <c r="N71" s="122">
        <f t="shared" si="10"/>
        <v>-3.0182650300000002</v>
      </c>
      <c r="O71" s="214" t="e">
        <f t="shared" si="2"/>
        <v>#DIV/0!</v>
      </c>
      <c r="P71" s="122">
        <f t="shared" si="3"/>
        <v>0</v>
      </c>
      <c r="Q71" s="213" t="s">
        <v>256</v>
      </c>
      <c r="R71" s="122">
        <f t="shared" si="4"/>
        <v>0</v>
      </c>
      <c r="S71" s="213" t="s">
        <v>256</v>
      </c>
      <c r="T71" s="122">
        <f t="shared" si="5"/>
        <v>-3.0182650300000002</v>
      </c>
      <c r="U71" s="214" t="e">
        <f t="shared" si="6"/>
        <v>#DIV/0!</v>
      </c>
      <c r="V71" s="122">
        <f t="shared" si="7"/>
        <v>0</v>
      </c>
      <c r="W71" s="163" t="s">
        <v>256</v>
      </c>
      <c r="X71" s="136">
        <f>'10'!T55</f>
        <v>0</v>
      </c>
      <c r="Y71" s="62"/>
    </row>
    <row r="72" spans="1:25" ht="31.5">
      <c r="A72" s="201" t="s">
        <v>421</v>
      </c>
      <c r="B72" s="509" t="s">
        <v>913</v>
      </c>
      <c r="C72" s="198" t="s">
        <v>876</v>
      </c>
      <c r="D72" s="174">
        <f t="shared" si="16"/>
        <v>3.0182650300000002</v>
      </c>
      <c r="E72" s="124">
        <f>E73+E74</f>
        <v>0</v>
      </c>
      <c r="F72" s="124">
        <f t="shared" ref="F72:M72" si="31">F73+F74</f>
        <v>0</v>
      </c>
      <c r="G72" s="124">
        <f t="shared" si="31"/>
        <v>0</v>
      </c>
      <c r="H72" s="124">
        <f t="shared" si="31"/>
        <v>3.0182650300000002</v>
      </c>
      <c r="I72" s="124">
        <f t="shared" si="31"/>
        <v>3.0182650300000002</v>
      </c>
      <c r="J72" s="124">
        <f t="shared" si="31"/>
        <v>0</v>
      </c>
      <c r="K72" s="124">
        <f t="shared" si="31"/>
        <v>0</v>
      </c>
      <c r="L72" s="124">
        <f t="shared" si="31"/>
        <v>3.0182650300000002</v>
      </c>
      <c r="M72" s="124">
        <f t="shared" si="31"/>
        <v>0</v>
      </c>
      <c r="N72" s="122">
        <f t="shared" si="10"/>
        <v>0</v>
      </c>
      <c r="O72" s="214">
        <f t="shared" si="2"/>
        <v>100</v>
      </c>
      <c r="P72" s="122">
        <f t="shared" si="3"/>
        <v>0</v>
      </c>
      <c r="Q72" s="213" t="s">
        <v>256</v>
      </c>
      <c r="R72" s="122">
        <f t="shared" si="4"/>
        <v>0</v>
      </c>
      <c r="S72" s="213" t="s">
        <v>256</v>
      </c>
      <c r="T72" s="122">
        <f t="shared" si="5"/>
        <v>-3.0182650300000002</v>
      </c>
      <c r="U72" s="214" t="e">
        <f t="shared" si="6"/>
        <v>#DIV/0!</v>
      </c>
      <c r="V72" s="122">
        <f t="shared" si="7"/>
        <v>3.0182650300000002</v>
      </c>
      <c r="W72" s="163" t="s">
        <v>256</v>
      </c>
      <c r="X72" s="136">
        <f>'10'!T56</f>
        <v>0</v>
      </c>
      <c r="Y72" s="62"/>
    </row>
    <row r="73" spans="1:25" s="151" customFormat="1" ht="47.25">
      <c r="A73" s="205" t="s">
        <v>423</v>
      </c>
      <c r="B73" s="510" t="s">
        <v>1070</v>
      </c>
      <c r="C73" s="206" t="s">
        <v>1086</v>
      </c>
      <c r="D73" s="174">
        <f>H73</f>
        <v>2.4162654000000003</v>
      </c>
      <c r="E73" s="124">
        <v>0</v>
      </c>
      <c r="F73" s="124">
        <v>0</v>
      </c>
      <c r="G73" s="124">
        <v>0</v>
      </c>
      <c r="H73" s="124">
        <f>'10'!H57</f>
        <v>2.4162654000000003</v>
      </c>
      <c r="I73" s="122">
        <f>SUM(J73:M73)</f>
        <v>2.4162654000000003</v>
      </c>
      <c r="J73" s="122">
        <v>0</v>
      </c>
      <c r="K73" s="122">
        <v>0</v>
      </c>
      <c r="L73" s="122">
        <f>'10'!H57</f>
        <v>2.4162654000000003</v>
      </c>
      <c r="M73" s="122">
        <v>0</v>
      </c>
      <c r="N73" s="122">
        <v>0</v>
      </c>
      <c r="O73" s="214">
        <f t="shared" si="2"/>
        <v>100</v>
      </c>
      <c r="P73" s="122">
        <v>0</v>
      </c>
      <c r="Q73" s="213" t="s">
        <v>256</v>
      </c>
      <c r="R73" s="122">
        <v>0</v>
      </c>
      <c r="S73" s="213" t="s">
        <v>256</v>
      </c>
      <c r="T73" s="122">
        <v>0</v>
      </c>
      <c r="U73" s="214" t="e">
        <f t="shared" si="6"/>
        <v>#DIV/0!</v>
      </c>
      <c r="V73" s="122">
        <v>0</v>
      </c>
      <c r="W73" s="163" t="s">
        <v>256</v>
      </c>
      <c r="X73" s="170" t="str">
        <f>'10'!T57</f>
        <v>Финансирование освоенного инвестиционного проекта 2017 года</v>
      </c>
      <c r="Y73" s="62"/>
    </row>
    <row r="74" spans="1:25" s="151" customFormat="1" ht="47.25">
      <c r="A74" s="205" t="s">
        <v>424</v>
      </c>
      <c r="B74" s="510" t="s">
        <v>1071</v>
      </c>
      <c r="C74" s="206" t="s">
        <v>1090</v>
      </c>
      <c r="D74" s="174">
        <f>H74</f>
        <v>0.60199963000000001</v>
      </c>
      <c r="E74" s="124">
        <v>0</v>
      </c>
      <c r="F74" s="124">
        <v>0</v>
      </c>
      <c r="G74" s="124">
        <v>0</v>
      </c>
      <c r="H74" s="124">
        <f>'10'!H58</f>
        <v>0.60199963000000001</v>
      </c>
      <c r="I74" s="122">
        <f>SUM(J74:M74)</f>
        <v>0.60199963000000001</v>
      </c>
      <c r="J74" s="122">
        <v>0</v>
      </c>
      <c r="K74" s="122">
        <v>0</v>
      </c>
      <c r="L74" s="122">
        <f>'10'!H58</f>
        <v>0.60199963000000001</v>
      </c>
      <c r="M74" s="122">
        <v>0</v>
      </c>
      <c r="N74" s="122">
        <v>0</v>
      </c>
      <c r="O74" s="214">
        <f t="shared" si="2"/>
        <v>100</v>
      </c>
      <c r="P74" s="122">
        <v>0</v>
      </c>
      <c r="Q74" s="213" t="s">
        <v>256</v>
      </c>
      <c r="R74" s="122">
        <v>0</v>
      </c>
      <c r="S74" s="213" t="s">
        <v>256</v>
      </c>
      <c r="T74" s="122">
        <v>0</v>
      </c>
      <c r="U74" s="214" t="e">
        <f t="shared" si="6"/>
        <v>#DIV/0!</v>
      </c>
      <c r="V74" s="122">
        <v>0</v>
      </c>
      <c r="W74" s="163" t="s">
        <v>256</v>
      </c>
      <c r="X74" s="170" t="str">
        <f>'10'!T58</f>
        <v>Финансирование освоенного инвестиционного проекта 2017 года</v>
      </c>
      <c r="Y74" s="62"/>
    </row>
    <row r="75" spans="1:25" ht="63">
      <c r="A75" s="201" t="s">
        <v>426</v>
      </c>
      <c r="B75" s="509" t="s">
        <v>914</v>
      </c>
      <c r="C75" s="202" t="s">
        <v>876</v>
      </c>
      <c r="D75" s="174">
        <f t="shared" si="16"/>
        <v>0</v>
      </c>
      <c r="E75" s="127">
        <v>0</v>
      </c>
      <c r="F75" s="127">
        <v>0</v>
      </c>
      <c r="G75" s="127">
        <v>0</v>
      </c>
      <c r="H75" s="127">
        <v>0</v>
      </c>
      <c r="I75" s="122">
        <f>SUM(J75:M75)</f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f t="shared" si="10"/>
        <v>0</v>
      </c>
      <c r="O75" s="214" t="e">
        <f t="shared" si="2"/>
        <v>#DIV/0!</v>
      </c>
      <c r="P75" s="122">
        <f t="shared" si="3"/>
        <v>0</v>
      </c>
      <c r="Q75" s="213" t="s">
        <v>256</v>
      </c>
      <c r="R75" s="122">
        <f t="shared" si="4"/>
        <v>0</v>
      </c>
      <c r="S75" s="213" t="s">
        <v>256</v>
      </c>
      <c r="T75" s="122">
        <f t="shared" si="5"/>
        <v>0</v>
      </c>
      <c r="U75" s="214" t="e">
        <f t="shared" si="6"/>
        <v>#DIV/0!</v>
      </c>
      <c r="V75" s="122">
        <f t="shared" si="7"/>
        <v>0</v>
      </c>
      <c r="W75" s="163" t="s">
        <v>256</v>
      </c>
      <c r="X75" s="136" t="e">
        <f>'10'!#REF!</f>
        <v>#REF!</v>
      </c>
      <c r="Y75" s="62"/>
    </row>
    <row r="76" spans="1:25" ht="47.25">
      <c r="A76" s="201" t="s">
        <v>841</v>
      </c>
      <c r="B76" s="509" t="s">
        <v>915</v>
      </c>
      <c r="C76" s="202" t="s">
        <v>876</v>
      </c>
      <c r="D76" s="174">
        <f t="shared" si="16"/>
        <v>7.6335999999999995</v>
      </c>
      <c r="E76" s="127">
        <v>0</v>
      </c>
      <c r="F76" s="127">
        <v>0</v>
      </c>
      <c r="G76" s="127">
        <v>7.6335999999999995</v>
      </c>
      <c r="H76" s="127">
        <v>0</v>
      </c>
      <c r="I76" s="122">
        <f>I77+I83</f>
        <v>2.6330804800000003</v>
      </c>
      <c r="J76" s="122">
        <f>J77+J83</f>
        <v>0</v>
      </c>
      <c r="K76" s="122">
        <f>K77+K83</f>
        <v>0</v>
      </c>
      <c r="L76" s="122">
        <f>L77+L83</f>
        <v>2.6330804800000003</v>
      </c>
      <c r="M76" s="122">
        <f>M77+M83</f>
        <v>0</v>
      </c>
      <c r="N76" s="122">
        <f t="shared" si="10"/>
        <v>5.0005195199999992</v>
      </c>
      <c r="O76" s="212">
        <f t="shared" si="2"/>
        <v>34.493299098721444</v>
      </c>
      <c r="P76" s="122">
        <f t="shared" si="3"/>
        <v>0</v>
      </c>
      <c r="Q76" s="213" t="s">
        <v>256</v>
      </c>
      <c r="R76" s="122">
        <f t="shared" si="4"/>
        <v>0</v>
      </c>
      <c r="S76" s="213" t="s">
        <v>256</v>
      </c>
      <c r="T76" s="122">
        <f t="shared" si="5"/>
        <v>5.0005195199999992</v>
      </c>
      <c r="U76" s="212">
        <f t="shared" si="6"/>
        <v>34.493299098721444</v>
      </c>
      <c r="V76" s="122">
        <f t="shared" si="7"/>
        <v>0</v>
      </c>
      <c r="W76" s="163" t="s">
        <v>256</v>
      </c>
      <c r="X76" s="136">
        <f>'10'!T59</f>
        <v>0</v>
      </c>
      <c r="Y76" s="62"/>
    </row>
    <row r="77" spans="1:25" ht="31.5">
      <c r="A77" s="201" t="s">
        <v>916</v>
      </c>
      <c r="B77" s="509" t="s">
        <v>917</v>
      </c>
      <c r="C77" s="198" t="s">
        <v>876</v>
      </c>
      <c r="D77" s="174">
        <f t="shared" si="16"/>
        <v>8.7481355699999988</v>
      </c>
      <c r="E77" s="124">
        <v>0</v>
      </c>
      <c r="F77" s="124">
        <v>0</v>
      </c>
      <c r="G77" s="124">
        <v>7.6335999999999995</v>
      </c>
      <c r="H77" s="124">
        <f>SUM(H78:H82)</f>
        <v>1.1145355700000001</v>
      </c>
      <c r="I77" s="122">
        <f>I78+I80+I81+I82</f>
        <v>2.6330804800000003</v>
      </c>
      <c r="J77" s="122">
        <f t="shared" ref="J77:M77" si="32">J78+J80+J81+J82</f>
        <v>0</v>
      </c>
      <c r="K77" s="122">
        <f t="shared" si="32"/>
        <v>0</v>
      </c>
      <c r="L77" s="122">
        <f t="shared" si="32"/>
        <v>2.6330804800000003</v>
      </c>
      <c r="M77" s="122">
        <f t="shared" si="32"/>
        <v>0</v>
      </c>
      <c r="N77" s="122">
        <f t="shared" si="10"/>
        <v>6.1150550899999985</v>
      </c>
      <c r="O77" s="212">
        <f t="shared" si="2"/>
        <v>30.098761718206894</v>
      </c>
      <c r="P77" s="122">
        <f t="shared" si="3"/>
        <v>0</v>
      </c>
      <c r="Q77" s="213" t="s">
        <v>256</v>
      </c>
      <c r="R77" s="122">
        <f t="shared" si="4"/>
        <v>0</v>
      </c>
      <c r="S77" s="213" t="s">
        <v>256</v>
      </c>
      <c r="T77" s="122">
        <f t="shared" si="5"/>
        <v>5.0005195199999992</v>
      </c>
      <c r="U77" s="212">
        <f t="shared" si="6"/>
        <v>34.493299098721444</v>
      </c>
      <c r="V77" s="122">
        <f t="shared" si="7"/>
        <v>1.1145355700000001</v>
      </c>
      <c r="W77" s="163" t="s">
        <v>256</v>
      </c>
      <c r="X77" s="136">
        <f>'10'!T60</f>
        <v>0</v>
      </c>
      <c r="Y77" s="62"/>
    </row>
    <row r="78" spans="1:25" ht="267.75">
      <c r="A78" s="205" t="s">
        <v>916</v>
      </c>
      <c r="B78" s="511" t="s">
        <v>918</v>
      </c>
      <c r="C78" s="204" t="s">
        <v>919</v>
      </c>
      <c r="D78" s="174">
        <f t="shared" si="16"/>
        <v>4.5642399999999999</v>
      </c>
      <c r="E78" s="139">
        <v>0</v>
      </c>
      <c r="F78" s="139">
        <v>0</v>
      </c>
      <c r="G78" s="139">
        <v>4.5642399999999999</v>
      </c>
      <c r="H78" s="139">
        <v>0</v>
      </c>
      <c r="I78" s="122">
        <f t="shared" ref="I78:I82" si="33">SUM(J78:M78)</f>
        <v>0.25</v>
      </c>
      <c r="J78" s="122">
        <v>0</v>
      </c>
      <c r="K78" s="122">
        <v>0</v>
      </c>
      <c r="L78" s="122">
        <f>'10'!H62</f>
        <v>0.25</v>
      </c>
      <c r="M78" s="122">
        <v>0</v>
      </c>
      <c r="N78" s="122">
        <f t="shared" si="10"/>
        <v>4.3142399999999999</v>
      </c>
      <c r="O78" s="212">
        <f t="shared" si="2"/>
        <v>5.4773631535589713</v>
      </c>
      <c r="P78" s="122">
        <f t="shared" si="3"/>
        <v>0</v>
      </c>
      <c r="Q78" s="213" t="s">
        <v>256</v>
      </c>
      <c r="R78" s="122">
        <f t="shared" si="4"/>
        <v>0</v>
      </c>
      <c r="S78" s="213" t="s">
        <v>256</v>
      </c>
      <c r="T78" s="122">
        <f t="shared" si="5"/>
        <v>4.3142399999999999</v>
      </c>
      <c r="U78" s="212">
        <f t="shared" si="6"/>
        <v>5.4773631535589713</v>
      </c>
      <c r="V78" s="122">
        <f t="shared" si="7"/>
        <v>0</v>
      </c>
      <c r="W78" s="163" t="s">
        <v>256</v>
      </c>
      <c r="X78" s="136" t="str">
        <f>'10'!T62</f>
        <v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  <c r="Y78" s="62"/>
    </row>
    <row r="79" spans="1:25" s="546" customFormat="1" ht="267.75">
      <c r="A79" s="205" t="s">
        <v>916</v>
      </c>
      <c r="B79" s="511" t="s">
        <v>920</v>
      </c>
      <c r="C79" s="204" t="s">
        <v>921</v>
      </c>
      <c r="D79" s="174">
        <f t="shared" ref="D79" si="34">SUM(E79:H79)</f>
        <v>1.2047799999999997</v>
      </c>
      <c r="E79" s="139">
        <v>0</v>
      </c>
      <c r="F79" s="139">
        <v>0</v>
      </c>
      <c r="G79" s="139">
        <v>1.2047799999999997</v>
      </c>
      <c r="H79" s="139">
        <v>0</v>
      </c>
      <c r="I79" s="122">
        <f t="shared" ref="I79" si="35">SUM(J79:M79)</f>
        <v>0.25</v>
      </c>
      <c r="J79" s="122">
        <v>0</v>
      </c>
      <c r="K79" s="122">
        <v>0</v>
      </c>
      <c r="L79" s="122">
        <f>'10'!H62</f>
        <v>0.25</v>
      </c>
      <c r="M79" s="122">
        <v>0</v>
      </c>
      <c r="N79" s="122">
        <f t="shared" ref="N79" si="36">D79-I79</f>
        <v>0.95477999999999974</v>
      </c>
      <c r="O79" s="212">
        <f t="shared" ref="O79" si="37">I79/D79*100</f>
        <v>20.750676472052991</v>
      </c>
      <c r="P79" s="122">
        <f t="shared" ref="P79" si="38">E79-J79</f>
        <v>0</v>
      </c>
      <c r="Q79" s="213" t="s">
        <v>256</v>
      </c>
      <c r="R79" s="122">
        <f t="shared" ref="R79" si="39">F79-K79</f>
        <v>0</v>
      </c>
      <c r="S79" s="213" t="s">
        <v>256</v>
      </c>
      <c r="T79" s="122">
        <f t="shared" ref="T79" si="40">G79-L79</f>
        <v>0.95477999999999974</v>
      </c>
      <c r="U79" s="212">
        <f t="shared" ref="U79" si="41">L79/G79*100</f>
        <v>20.750676472052991</v>
      </c>
      <c r="V79" s="122">
        <f t="shared" ref="V79" si="42">H79-M79</f>
        <v>0</v>
      </c>
      <c r="W79" s="545" t="s">
        <v>256</v>
      </c>
      <c r="X79" s="170" t="str">
        <f>'10'!T62</f>
        <v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  <c r="Y79" s="62"/>
    </row>
    <row r="80" spans="1:25" ht="267.75">
      <c r="A80" s="205" t="s">
        <v>916</v>
      </c>
      <c r="B80" s="511" t="s">
        <v>922</v>
      </c>
      <c r="C80" s="204" t="s">
        <v>923</v>
      </c>
      <c r="D80" s="174">
        <f t="shared" si="16"/>
        <v>1.3561601801799998</v>
      </c>
      <c r="E80" s="139">
        <v>0</v>
      </c>
      <c r="F80" s="139">
        <v>0</v>
      </c>
      <c r="G80" s="139">
        <v>1.2047799999999997</v>
      </c>
      <c r="H80" s="139">
        <f>0.15138018018</f>
        <v>0.15138018017999999</v>
      </c>
      <c r="I80" s="122">
        <f t="shared" si="33"/>
        <v>0.80138018018000001</v>
      </c>
      <c r="J80" s="122">
        <v>0</v>
      </c>
      <c r="K80" s="122">
        <v>0</v>
      </c>
      <c r="L80" s="122">
        <f>'10'!H63</f>
        <v>0.80138018018000001</v>
      </c>
      <c r="M80" s="122">
        <v>0</v>
      </c>
      <c r="N80" s="122">
        <f t="shared" si="10"/>
        <v>0.55477999999999983</v>
      </c>
      <c r="O80" s="212">
        <f t="shared" si="2"/>
        <v>59.091853004682292</v>
      </c>
      <c r="P80" s="122">
        <f t="shared" si="3"/>
        <v>0</v>
      </c>
      <c r="Q80" s="213" t="s">
        <v>256</v>
      </c>
      <c r="R80" s="122">
        <f t="shared" si="4"/>
        <v>0</v>
      </c>
      <c r="S80" s="213" t="s">
        <v>256</v>
      </c>
      <c r="T80" s="122">
        <f t="shared" si="5"/>
        <v>0.40339981981999973</v>
      </c>
      <c r="U80" s="212">
        <f t="shared" si="6"/>
        <v>66.516723400122856</v>
      </c>
      <c r="V80" s="122">
        <f t="shared" si="7"/>
        <v>0.15138018017999999</v>
      </c>
      <c r="W80" s="163" t="s">
        <v>256</v>
      </c>
      <c r="X80" s="170" t="str">
        <f>'10'!T63</f>
        <v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  <c r="Y80" s="62"/>
    </row>
    <row r="81" spans="1:25" ht="267.75">
      <c r="A81" s="205" t="s">
        <v>916</v>
      </c>
      <c r="B81" s="511" t="s">
        <v>1089</v>
      </c>
      <c r="C81" s="204" t="s">
        <v>924</v>
      </c>
      <c r="D81" s="174">
        <f t="shared" si="16"/>
        <v>2.1332798198199998</v>
      </c>
      <c r="E81" s="139">
        <v>0</v>
      </c>
      <c r="F81" s="139">
        <v>0</v>
      </c>
      <c r="G81" s="139">
        <v>1.8645799999999999</v>
      </c>
      <c r="H81" s="139">
        <f>0.26869981982</f>
        <v>0.26869981982000002</v>
      </c>
      <c r="I81" s="122">
        <f t="shared" si="33"/>
        <v>0.88724472982000002</v>
      </c>
      <c r="J81" s="122">
        <v>0</v>
      </c>
      <c r="K81" s="122">
        <v>0</v>
      </c>
      <c r="L81" s="122">
        <f>'10'!H64</f>
        <v>0.88724472982000002</v>
      </c>
      <c r="M81" s="122">
        <v>0</v>
      </c>
      <c r="N81" s="122">
        <f t="shared" si="10"/>
        <v>1.2460350899999999</v>
      </c>
      <c r="O81" s="212">
        <f t="shared" si="2"/>
        <v>41.590639989031693</v>
      </c>
      <c r="P81" s="122">
        <f t="shared" si="3"/>
        <v>0</v>
      </c>
      <c r="Q81" s="213" t="s">
        <v>256</v>
      </c>
      <c r="R81" s="122">
        <f t="shared" si="4"/>
        <v>0</v>
      </c>
      <c r="S81" s="213" t="s">
        <v>256</v>
      </c>
      <c r="T81" s="122">
        <f t="shared" si="5"/>
        <v>0.97733527017999988</v>
      </c>
      <c r="U81" s="212">
        <f t="shared" si="6"/>
        <v>47.584159962028991</v>
      </c>
      <c r="V81" s="122">
        <f t="shared" si="7"/>
        <v>0.26869981982000002</v>
      </c>
      <c r="W81" s="163" t="s">
        <v>256</v>
      </c>
      <c r="X81" s="170" t="str">
        <f>'10'!T64</f>
        <v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  <c r="Y81" s="62"/>
    </row>
    <row r="82" spans="1:25" s="151" customFormat="1" ht="47.25">
      <c r="A82" s="205" t="s">
        <v>916</v>
      </c>
      <c r="B82" s="511" t="s">
        <v>1069</v>
      </c>
      <c r="C82" s="207" t="s">
        <v>1093</v>
      </c>
      <c r="D82" s="174">
        <f t="shared" si="16"/>
        <v>0.69445557000000002</v>
      </c>
      <c r="E82" s="139">
        <v>0</v>
      </c>
      <c r="F82" s="139">
        <v>0</v>
      </c>
      <c r="G82" s="139">
        <v>0</v>
      </c>
      <c r="H82" s="139">
        <v>0.69445557000000002</v>
      </c>
      <c r="I82" s="122">
        <f t="shared" si="33"/>
        <v>0.69445557000000002</v>
      </c>
      <c r="J82" s="122">
        <v>0</v>
      </c>
      <c r="K82" s="122">
        <v>0</v>
      </c>
      <c r="L82" s="122">
        <f>'10'!H65</f>
        <v>0.69445557000000002</v>
      </c>
      <c r="M82" s="122">
        <v>0</v>
      </c>
      <c r="N82" s="122">
        <f t="shared" si="10"/>
        <v>0</v>
      </c>
      <c r="O82" s="214">
        <f t="shared" si="2"/>
        <v>100</v>
      </c>
      <c r="P82" s="122">
        <f t="shared" si="3"/>
        <v>0</v>
      </c>
      <c r="Q82" s="213" t="s">
        <v>256</v>
      </c>
      <c r="R82" s="122">
        <f t="shared" si="4"/>
        <v>0</v>
      </c>
      <c r="S82" s="213" t="s">
        <v>256</v>
      </c>
      <c r="T82" s="122">
        <f t="shared" si="5"/>
        <v>-0.69445557000000002</v>
      </c>
      <c r="U82" s="214" t="e">
        <f t="shared" si="6"/>
        <v>#DIV/0!</v>
      </c>
      <c r="V82" s="122">
        <f t="shared" si="7"/>
        <v>0.69445557000000002</v>
      </c>
      <c r="W82" s="163" t="s">
        <v>256</v>
      </c>
      <c r="X82" s="170" t="str">
        <f>'10'!T65</f>
        <v>Финансирование освоенного инвестиционного проекта 2017 года</v>
      </c>
      <c r="Y82" s="62"/>
    </row>
    <row r="83" spans="1:25" ht="47.25">
      <c r="A83" s="199" t="s">
        <v>925</v>
      </c>
      <c r="B83" s="509" t="s">
        <v>926</v>
      </c>
      <c r="C83" s="202" t="s">
        <v>876</v>
      </c>
      <c r="D83" s="174">
        <f t="shared" si="16"/>
        <v>0</v>
      </c>
      <c r="E83" s="139">
        <v>0</v>
      </c>
      <c r="F83" s="139">
        <v>0</v>
      </c>
      <c r="G83" s="139">
        <v>0</v>
      </c>
      <c r="H83" s="139">
        <v>0</v>
      </c>
      <c r="I83" s="122">
        <f>SUM(J83:M83)</f>
        <v>0</v>
      </c>
      <c r="J83" s="122">
        <v>0</v>
      </c>
      <c r="K83" s="122">
        <v>0</v>
      </c>
      <c r="L83" s="122">
        <v>0</v>
      </c>
      <c r="M83" s="122">
        <v>0</v>
      </c>
      <c r="N83" s="122">
        <f t="shared" si="10"/>
        <v>0</v>
      </c>
      <c r="O83" s="214" t="e">
        <f t="shared" si="2"/>
        <v>#DIV/0!</v>
      </c>
      <c r="P83" s="122">
        <f t="shared" si="3"/>
        <v>0</v>
      </c>
      <c r="Q83" s="213" t="s">
        <v>256</v>
      </c>
      <c r="R83" s="122">
        <f t="shared" si="4"/>
        <v>0</v>
      </c>
      <c r="S83" s="213" t="s">
        <v>256</v>
      </c>
      <c r="T83" s="122">
        <f t="shared" si="5"/>
        <v>0</v>
      </c>
      <c r="U83" s="214" t="e">
        <f t="shared" si="6"/>
        <v>#DIV/0!</v>
      </c>
      <c r="V83" s="122">
        <f t="shared" si="7"/>
        <v>0</v>
      </c>
      <c r="W83" s="163" t="s">
        <v>256</v>
      </c>
      <c r="X83" s="136">
        <f>'10'!T66</f>
        <v>0</v>
      </c>
      <c r="Y83" s="62"/>
    </row>
    <row r="84" spans="1:25" ht="47.25">
      <c r="A84" s="201" t="s">
        <v>842</v>
      </c>
      <c r="B84" s="509" t="s">
        <v>927</v>
      </c>
      <c r="C84" s="202" t="s">
        <v>876</v>
      </c>
      <c r="D84" s="174">
        <f t="shared" si="16"/>
        <v>0</v>
      </c>
      <c r="E84" s="139">
        <v>0</v>
      </c>
      <c r="F84" s="139">
        <v>0</v>
      </c>
      <c r="G84" s="139">
        <v>0</v>
      </c>
      <c r="H84" s="139">
        <v>0</v>
      </c>
      <c r="I84" s="122">
        <f>I85+I86+I87+I88+I89+I90+I91+I92</f>
        <v>0</v>
      </c>
      <c r="J84" s="122">
        <f>J85+J86+J87+J88+J89+J90+J91+J92</f>
        <v>0</v>
      </c>
      <c r="K84" s="122">
        <f>K85+K86+K87+K88+K89+K90+K91+K92</f>
        <v>0</v>
      </c>
      <c r="L84" s="122">
        <f>L85+L86+L87+L88+L89+L90+L91+L92</f>
        <v>0</v>
      </c>
      <c r="M84" s="122">
        <f>M86+M87+M88+M89+M90+M91+M92</f>
        <v>0</v>
      </c>
      <c r="N84" s="122">
        <f t="shared" si="10"/>
        <v>0</v>
      </c>
      <c r="O84" s="214" t="e">
        <f t="shared" si="2"/>
        <v>#DIV/0!</v>
      </c>
      <c r="P84" s="122">
        <f t="shared" si="3"/>
        <v>0</v>
      </c>
      <c r="Q84" s="213" t="s">
        <v>256</v>
      </c>
      <c r="R84" s="122">
        <f t="shared" si="4"/>
        <v>0</v>
      </c>
      <c r="S84" s="213" t="s">
        <v>256</v>
      </c>
      <c r="T84" s="122">
        <f t="shared" si="5"/>
        <v>0</v>
      </c>
      <c r="U84" s="214" t="e">
        <f t="shared" si="6"/>
        <v>#DIV/0!</v>
      </c>
      <c r="V84" s="122">
        <f t="shared" si="7"/>
        <v>0</v>
      </c>
      <c r="W84" s="163" t="s">
        <v>256</v>
      </c>
      <c r="X84" s="136">
        <f>'10'!T67</f>
        <v>0</v>
      </c>
      <c r="Y84" s="62"/>
    </row>
    <row r="85" spans="1:25" ht="47.25">
      <c r="A85" s="199" t="s">
        <v>436</v>
      </c>
      <c r="B85" s="509" t="s">
        <v>928</v>
      </c>
      <c r="C85" s="202" t="s">
        <v>876</v>
      </c>
      <c r="D85" s="174">
        <f t="shared" si="16"/>
        <v>0</v>
      </c>
      <c r="E85" s="139">
        <v>0</v>
      </c>
      <c r="F85" s="139">
        <v>0</v>
      </c>
      <c r="G85" s="139">
        <v>0</v>
      </c>
      <c r="H85" s="139">
        <v>0</v>
      </c>
      <c r="I85" s="122">
        <v>0</v>
      </c>
      <c r="J85" s="122">
        <v>0</v>
      </c>
      <c r="K85" s="122">
        <v>0</v>
      </c>
      <c r="L85" s="122">
        <v>0</v>
      </c>
      <c r="M85" s="216">
        <v>0</v>
      </c>
      <c r="N85" s="122">
        <f t="shared" si="10"/>
        <v>0</v>
      </c>
      <c r="O85" s="214" t="e">
        <f t="shared" si="2"/>
        <v>#DIV/0!</v>
      </c>
      <c r="P85" s="122">
        <f t="shared" si="3"/>
        <v>0</v>
      </c>
      <c r="Q85" s="213" t="s">
        <v>256</v>
      </c>
      <c r="R85" s="122">
        <f t="shared" si="4"/>
        <v>0</v>
      </c>
      <c r="S85" s="213" t="s">
        <v>256</v>
      </c>
      <c r="T85" s="122">
        <f t="shared" si="5"/>
        <v>0</v>
      </c>
      <c r="U85" s="214" t="e">
        <f t="shared" si="6"/>
        <v>#DIV/0!</v>
      </c>
      <c r="V85" s="122">
        <f>H85</f>
        <v>0</v>
      </c>
      <c r="W85" s="163" t="s">
        <v>256</v>
      </c>
      <c r="X85" s="136">
        <f>'10'!T68</f>
        <v>0</v>
      </c>
      <c r="Y85" s="62"/>
    </row>
    <row r="86" spans="1:25" ht="47.25">
      <c r="A86" s="199" t="s">
        <v>440</v>
      </c>
      <c r="B86" s="509" t="s">
        <v>929</v>
      </c>
      <c r="C86" s="202" t="s">
        <v>876</v>
      </c>
      <c r="D86" s="174">
        <f t="shared" si="16"/>
        <v>0</v>
      </c>
      <c r="E86" s="139">
        <v>0</v>
      </c>
      <c r="F86" s="139">
        <v>0</v>
      </c>
      <c r="G86" s="139">
        <v>0</v>
      </c>
      <c r="H86" s="139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f t="shared" si="10"/>
        <v>0</v>
      </c>
      <c r="O86" s="214" t="e">
        <f t="shared" si="2"/>
        <v>#DIV/0!</v>
      </c>
      <c r="P86" s="122">
        <f t="shared" si="3"/>
        <v>0</v>
      </c>
      <c r="Q86" s="213" t="s">
        <v>256</v>
      </c>
      <c r="R86" s="122">
        <f t="shared" si="4"/>
        <v>0</v>
      </c>
      <c r="S86" s="213" t="s">
        <v>256</v>
      </c>
      <c r="T86" s="122">
        <f t="shared" si="5"/>
        <v>0</v>
      </c>
      <c r="U86" s="214" t="e">
        <f t="shared" ref="U86:U110" si="43">L86/G86*100</f>
        <v>#DIV/0!</v>
      </c>
      <c r="V86" s="122">
        <f t="shared" si="7"/>
        <v>0</v>
      </c>
      <c r="W86" s="163" t="s">
        <v>256</v>
      </c>
      <c r="X86" s="136">
        <f>'10'!T69</f>
        <v>0</v>
      </c>
      <c r="Y86" s="62"/>
    </row>
    <row r="87" spans="1:25" ht="47.25">
      <c r="A87" s="199" t="s">
        <v>441</v>
      </c>
      <c r="B87" s="509" t="s">
        <v>930</v>
      </c>
      <c r="C87" s="202" t="s">
        <v>876</v>
      </c>
      <c r="D87" s="174">
        <f t="shared" si="16"/>
        <v>0</v>
      </c>
      <c r="E87" s="139">
        <v>0</v>
      </c>
      <c r="F87" s="139">
        <v>0</v>
      </c>
      <c r="G87" s="139">
        <v>0</v>
      </c>
      <c r="H87" s="139">
        <v>0</v>
      </c>
      <c r="I87" s="122">
        <v>0</v>
      </c>
      <c r="J87" s="122">
        <v>0</v>
      </c>
      <c r="K87" s="122">
        <v>0</v>
      </c>
      <c r="L87" s="122">
        <v>0</v>
      </c>
      <c r="M87" s="122">
        <v>0</v>
      </c>
      <c r="N87" s="122">
        <f t="shared" si="10"/>
        <v>0</v>
      </c>
      <c r="O87" s="214" t="e">
        <f t="shared" si="2"/>
        <v>#DIV/0!</v>
      </c>
      <c r="P87" s="122">
        <f t="shared" si="3"/>
        <v>0</v>
      </c>
      <c r="Q87" s="213" t="s">
        <v>256</v>
      </c>
      <c r="R87" s="122">
        <f t="shared" si="4"/>
        <v>0</v>
      </c>
      <c r="S87" s="213" t="s">
        <v>256</v>
      </c>
      <c r="T87" s="122">
        <f t="shared" si="5"/>
        <v>0</v>
      </c>
      <c r="U87" s="214" t="e">
        <f t="shared" si="43"/>
        <v>#DIV/0!</v>
      </c>
      <c r="V87" s="122">
        <f t="shared" si="7"/>
        <v>0</v>
      </c>
      <c r="W87" s="163" t="s">
        <v>256</v>
      </c>
      <c r="X87" s="136">
        <f>'10'!T70</f>
        <v>0</v>
      </c>
      <c r="Y87" s="62"/>
    </row>
    <row r="88" spans="1:25" ht="47.25">
      <c r="A88" s="199" t="s">
        <v>442</v>
      </c>
      <c r="B88" s="509" t="s">
        <v>931</v>
      </c>
      <c r="C88" s="202" t="s">
        <v>876</v>
      </c>
      <c r="D88" s="174">
        <f t="shared" si="16"/>
        <v>0</v>
      </c>
      <c r="E88" s="139">
        <v>0</v>
      </c>
      <c r="F88" s="139">
        <v>0</v>
      </c>
      <c r="G88" s="139">
        <v>0</v>
      </c>
      <c r="H88" s="139">
        <v>0</v>
      </c>
      <c r="I88" s="122">
        <v>0</v>
      </c>
      <c r="J88" s="122">
        <v>0</v>
      </c>
      <c r="K88" s="122">
        <v>0</v>
      </c>
      <c r="L88" s="122">
        <v>0</v>
      </c>
      <c r="M88" s="122">
        <v>0</v>
      </c>
      <c r="N88" s="122">
        <f t="shared" si="10"/>
        <v>0</v>
      </c>
      <c r="O88" s="214" t="e">
        <f t="shared" si="2"/>
        <v>#DIV/0!</v>
      </c>
      <c r="P88" s="122">
        <f t="shared" si="3"/>
        <v>0</v>
      </c>
      <c r="Q88" s="213" t="s">
        <v>256</v>
      </c>
      <c r="R88" s="122">
        <f t="shared" si="4"/>
        <v>0</v>
      </c>
      <c r="S88" s="213" t="s">
        <v>256</v>
      </c>
      <c r="T88" s="122">
        <f t="shared" si="5"/>
        <v>0</v>
      </c>
      <c r="U88" s="214" t="e">
        <f t="shared" si="43"/>
        <v>#DIV/0!</v>
      </c>
      <c r="V88" s="122">
        <f t="shared" si="7"/>
        <v>0</v>
      </c>
      <c r="W88" s="163" t="s">
        <v>256</v>
      </c>
      <c r="X88" s="136">
        <f>'10'!T71</f>
        <v>0</v>
      </c>
      <c r="Y88" s="62"/>
    </row>
    <row r="89" spans="1:25" ht="63">
      <c r="A89" s="199" t="s">
        <v>443</v>
      </c>
      <c r="B89" s="509" t="s">
        <v>932</v>
      </c>
      <c r="C89" s="202" t="s">
        <v>876</v>
      </c>
      <c r="D89" s="174">
        <f t="shared" si="16"/>
        <v>0</v>
      </c>
      <c r="E89" s="139">
        <v>0</v>
      </c>
      <c r="F89" s="139">
        <v>0</v>
      </c>
      <c r="G89" s="139">
        <v>0</v>
      </c>
      <c r="H89" s="139">
        <v>0</v>
      </c>
      <c r="I89" s="122">
        <v>0</v>
      </c>
      <c r="J89" s="122">
        <v>0</v>
      </c>
      <c r="K89" s="122">
        <v>0</v>
      </c>
      <c r="L89" s="122">
        <v>0</v>
      </c>
      <c r="M89" s="122">
        <v>0</v>
      </c>
      <c r="N89" s="122">
        <f t="shared" si="10"/>
        <v>0</v>
      </c>
      <c r="O89" s="214" t="e">
        <f t="shared" si="2"/>
        <v>#DIV/0!</v>
      </c>
      <c r="P89" s="122">
        <f t="shared" si="3"/>
        <v>0</v>
      </c>
      <c r="Q89" s="213" t="s">
        <v>256</v>
      </c>
      <c r="R89" s="122">
        <f t="shared" si="4"/>
        <v>0</v>
      </c>
      <c r="S89" s="213" t="s">
        <v>256</v>
      </c>
      <c r="T89" s="122">
        <f t="shared" si="5"/>
        <v>0</v>
      </c>
      <c r="U89" s="214" t="e">
        <f t="shared" si="43"/>
        <v>#DIV/0!</v>
      </c>
      <c r="V89" s="122">
        <f t="shared" si="7"/>
        <v>0</v>
      </c>
      <c r="W89" s="163" t="s">
        <v>256</v>
      </c>
      <c r="X89" s="136">
        <f>'10'!T72</f>
        <v>0</v>
      </c>
      <c r="Y89" s="62"/>
    </row>
    <row r="90" spans="1:25" ht="63">
      <c r="A90" s="199" t="s">
        <v>444</v>
      </c>
      <c r="B90" s="509" t="s">
        <v>933</v>
      </c>
      <c r="C90" s="202" t="s">
        <v>876</v>
      </c>
      <c r="D90" s="174">
        <f t="shared" si="16"/>
        <v>0</v>
      </c>
      <c r="E90" s="139">
        <v>0</v>
      </c>
      <c r="F90" s="139">
        <v>0</v>
      </c>
      <c r="G90" s="139">
        <v>0</v>
      </c>
      <c r="H90" s="139">
        <v>0</v>
      </c>
      <c r="I90" s="122">
        <v>0</v>
      </c>
      <c r="J90" s="122">
        <v>0</v>
      </c>
      <c r="K90" s="122">
        <v>0</v>
      </c>
      <c r="L90" s="122">
        <v>0</v>
      </c>
      <c r="M90" s="122">
        <v>0</v>
      </c>
      <c r="N90" s="122">
        <f t="shared" si="10"/>
        <v>0</v>
      </c>
      <c r="O90" s="214" t="e">
        <f t="shared" si="2"/>
        <v>#DIV/0!</v>
      </c>
      <c r="P90" s="122">
        <f t="shared" si="3"/>
        <v>0</v>
      </c>
      <c r="Q90" s="213" t="s">
        <v>256</v>
      </c>
      <c r="R90" s="122">
        <f t="shared" si="4"/>
        <v>0</v>
      </c>
      <c r="S90" s="213" t="s">
        <v>256</v>
      </c>
      <c r="T90" s="122">
        <f t="shared" si="5"/>
        <v>0</v>
      </c>
      <c r="U90" s="214" t="e">
        <f t="shared" si="43"/>
        <v>#DIV/0!</v>
      </c>
      <c r="V90" s="122">
        <f t="shared" si="7"/>
        <v>0</v>
      </c>
      <c r="W90" s="163" t="s">
        <v>256</v>
      </c>
      <c r="X90" s="136">
        <f>'10'!T73</f>
        <v>0</v>
      </c>
      <c r="Y90" s="62"/>
    </row>
    <row r="91" spans="1:25" ht="63">
      <c r="A91" s="199" t="s">
        <v>445</v>
      </c>
      <c r="B91" s="509" t="s">
        <v>934</v>
      </c>
      <c r="C91" s="202" t="s">
        <v>876</v>
      </c>
      <c r="D91" s="174">
        <f t="shared" si="16"/>
        <v>0</v>
      </c>
      <c r="E91" s="139">
        <v>0</v>
      </c>
      <c r="F91" s="139">
        <v>0</v>
      </c>
      <c r="G91" s="139">
        <v>0</v>
      </c>
      <c r="H91" s="139">
        <v>0</v>
      </c>
      <c r="I91" s="122">
        <v>0</v>
      </c>
      <c r="J91" s="122">
        <v>0</v>
      </c>
      <c r="K91" s="122">
        <v>0</v>
      </c>
      <c r="L91" s="122">
        <v>0</v>
      </c>
      <c r="M91" s="122">
        <v>0</v>
      </c>
      <c r="N91" s="122">
        <f t="shared" si="10"/>
        <v>0</v>
      </c>
      <c r="O91" s="214" t="e">
        <f t="shared" ref="O91:O110" si="44">I91/D91*100</f>
        <v>#DIV/0!</v>
      </c>
      <c r="P91" s="122">
        <f t="shared" si="3"/>
        <v>0</v>
      </c>
      <c r="Q91" s="213" t="s">
        <v>256</v>
      </c>
      <c r="R91" s="122">
        <f t="shared" si="4"/>
        <v>0</v>
      </c>
      <c r="S91" s="213" t="s">
        <v>256</v>
      </c>
      <c r="T91" s="122">
        <f t="shared" si="5"/>
        <v>0</v>
      </c>
      <c r="U91" s="214" t="e">
        <f t="shared" si="43"/>
        <v>#DIV/0!</v>
      </c>
      <c r="V91" s="122">
        <f t="shared" si="7"/>
        <v>0</v>
      </c>
      <c r="W91" s="163" t="s">
        <v>256</v>
      </c>
      <c r="X91" s="136">
        <f>'10'!T74</f>
        <v>0</v>
      </c>
      <c r="Y91" s="62"/>
    </row>
    <row r="92" spans="1:25" ht="63">
      <c r="A92" s="199" t="s">
        <v>935</v>
      </c>
      <c r="B92" s="509" t="s">
        <v>936</v>
      </c>
      <c r="C92" s="202" t="s">
        <v>876</v>
      </c>
      <c r="D92" s="174">
        <f t="shared" si="16"/>
        <v>0</v>
      </c>
      <c r="E92" s="139">
        <v>0</v>
      </c>
      <c r="F92" s="139">
        <v>0</v>
      </c>
      <c r="G92" s="139">
        <v>0</v>
      </c>
      <c r="H92" s="139">
        <v>0</v>
      </c>
      <c r="I92" s="122">
        <v>0</v>
      </c>
      <c r="J92" s="122">
        <v>0</v>
      </c>
      <c r="K92" s="122">
        <v>0</v>
      </c>
      <c r="L92" s="122">
        <v>0</v>
      </c>
      <c r="M92" s="122">
        <v>0</v>
      </c>
      <c r="N92" s="122">
        <f t="shared" si="10"/>
        <v>0</v>
      </c>
      <c r="O92" s="214" t="e">
        <f t="shared" si="44"/>
        <v>#DIV/0!</v>
      </c>
      <c r="P92" s="122">
        <f t="shared" si="3"/>
        <v>0</v>
      </c>
      <c r="Q92" s="213" t="s">
        <v>256</v>
      </c>
      <c r="R92" s="122">
        <f t="shared" si="4"/>
        <v>0</v>
      </c>
      <c r="S92" s="213" t="s">
        <v>256</v>
      </c>
      <c r="T92" s="122">
        <f t="shared" si="5"/>
        <v>0</v>
      </c>
      <c r="U92" s="214" t="e">
        <f t="shared" si="43"/>
        <v>#DIV/0!</v>
      </c>
      <c r="V92" s="122">
        <f t="shared" si="7"/>
        <v>0</v>
      </c>
      <c r="W92" s="163" t="s">
        <v>256</v>
      </c>
      <c r="X92" s="136">
        <f>'10'!T75</f>
        <v>0</v>
      </c>
      <c r="Y92" s="62"/>
    </row>
    <row r="93" spans="1:25" ht="63">
      <c r="A93" s="201" t="s">
        <v>937</v>
      </c>
      <c r="B93" s="509" t="s">
        <v>938</v>
      </c>
      <c r="C93" s="202" t="s">
        <v>876</v>
      </c>
      <c r="D93" s="174">
        <f t="shared" si="16"/>
        <v>0</v>
      </c>
      <c r="E93" s="139">
        <v>0</v>
      </c>
      <c r="F93" s="139">
        <v>0</v>
      </c>
      <c r="G93" s="139">
        <v>0</v>
      </c>
      <c r="H93" s="139">
        <v>0</v>
      </c>
      <c r="I93" s="122">
        <f>I94+I95</f>
        <v>0</v>
      </c>
      <c r="J93" s="122">
        <f>J94+J95</f>
        <v>0</v>
      </c>
      <c r="K93" s="122">
        <f>K94+K95</f>
        <v>0</v>
      </c>
      <c r="L93" s="122">
        <f>L94+L95</f>
        <v>0</v>
      </c>
      <c r="M93" s="122">
        <f>M94+M95</f>
        <v>0</v>
      </c>
      <c r="N93" s="122">
        <f t="shared" si="10"/>
        <v>0</v>
      </c>
      <c r="O93" s="214" t="e">
        <f t="shared" si="44"/>
        <v>#DIV/0!</v>
      </c>
      <c r="P93" s="122">
        <f t="shared" si="3"/>
        <v>0</v>
      </c>
      <c r="Q93" s="213" t="s">
        <v>256</v>
      </c>
      <c r="R93" s="122">
        <f t="shared" si="4"/>
        <v>0</v>
      </c>
      <c r="S93" s="213" t="s">
        <v>256</v>
      </c>
      <c r="T93" s="122">
        <f t="shared" si="5"/>
        <v>0</v>
      </c>
      <c r="U93" s="214" t="e">
        <f t="shared" si="43"/>
        <v>#DIV/0!</v>
      </c>
      <c r="V93" s="122">
        <f t="shared" si="7"/>
        <v>0</v>
      </c>
      <c r="W93" s="163" t="s">
        <v>256</v>
      </c>
      <c r="X93" s="136">
        <f>'10'!T76</f>
        <v>0</v>
      </c>
      <c r="Y93" s="62"/>
    </row>
    <row r="94" spans="1:25" ht="31.5">
      <c r="A94" s="199" t="s">
        <v>939</v>
      </c>
      <c r="B94" s="509" t="s">
        <v>940</v>
      </c>
      <c r="C94" s="198" t="s">
        <v>876</v>
      </c>
      <c r="D94" s="174">
        <f t="shared" si="16"/>
        <v>0</v>
      </c>
      <c r="E94" s="126">
        <v>0</v>
      </c>
      <c r="F94" s="126">
        <v>0</v>
      </c>
      <c r="G94" s="126">
        <v>0</v>
      </c>
      <c r="H94" s="126">
        <v>0</v>
      </c>
      <c r="I94" s="122">
        <v>0</v>
      </c>
      <c r="J94" s="122">
        <v>0</v>
      </c>
      <c r="K94" s="122">
        <v>0</v>
      </c>
      <c r="L94" s="122">
        <v>0</v>
      </c>
      <c r="M94" s="122">
        <v>0</v>
      </c>
      <c r="N94" s="122">
        <f t="shared" si="10"/>
        <v>0</v>
      </c>
      <c r="O94" s="214" t="e">
        <f t="shared" si="44"/>
        <v>#DIV/0!</v>
      </c>
      <c r="P94" s="122">
        <f t="shared" si="3"/>
        <v>0</v>
      </c>
      <c r="Q94" s="213" t="s">
        <v>256</v>
      </c>
      <c r="R94" s="122">
        <f t="shared" si="4"/>
        <v>0</v>
      </c>
      <c r="S94" s="213" t="s">
        <v>256</v>
      </c>
      <c r="T94" s="122">
        <f t="shared" si="5"/>
        <v>0</v>
      </c>
      <c r="U94" s="214" t="e">
        <f t="shared" si="43"/>
        <v>#DIV/0!</v>
      </c>
      <c r="V94" s="122">
        <f t="shared" si="7"/>
        <v>0</v>
      </c>
      <c r="W94" s="163" t="s">
        <v>256</v>
      </c>
      <c r="X94" s="136">
        <f>'10'!T77</f>
        <v>0</v>
      </c>
      <c r="Y94" s="62"/>
    </row>
    <row r="95" spans="1:25" ht="47.25">
      <c r="A95" s="199" t="s">
        <v>941</v>
      </c>
      <c r="B95" s="509" t="s">
        <v>942</v>
      </c>
      <c r="C95" s="202" t="s">
        <v>876</v>
      </c>
      <c r="D95" s="174">
        <f t="shared" si="16"/>
        <v>0</v>
      </c>
      <c r="E95" s="139">
        <v>0</v>
      </c>
      <c r="F95" s="139">
        <v>0</v>
      </c>
      <c r="G95" s="139">
        <v>0</v>
      </c>
      <c r="H95" s="139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0</v>
      </c>
      <c r="N95" s="122">
        <f t="shared" si="10"/>
        <v>0</v>
      </c>
      <c r="O95" s="214" t="e">
        <f t="shared" si="44"/>
        <v>#DIV/0!</v>
      </c>
      <c r="P95" s="122">
        <f t="shared" si="3"/>
        <v>0</v>
      </c>
      <c r="Q95" s="213" t="s">
        <v>256</v>
      </c>
      <c r="R95" s="122">
        <f t="shared" si="4"/>
        <v>0</v>
      </c>
      <c r="S95" s="213" t="s">
        <v>256</v>
      </c>
      <c r="T95" s="122">
        <f t="shared" si="5"/>
        <v>0</v>
      </c>
      <c r="U95" s="214" t="e">
        <f t="shared" si="43"/>
        <v>#DIV/0!</v>
      </c>
      <c r="V95" s="122">
        <f t="shared" si="7"/>
        <v>0</v>
      </c>
      <c r="W95" s="163" t="s">
        <v>256</v>
      </c>
      <c r="X95" s="136">
        <f>'10'!T78</f>
        <v>0</v>
      </c>
      <c r="Y95" s="62"/>
    </row>
    <row r="96" spans="1:25" ht="141.75">
      <c r="A96" s="201" t="s">
        <v>943</v>
      </c>
      <c r="B96" s="509" t="s">
        <v>944</v>
      </c>
      <c r="C96" s="202" t="s">
        <v>876</v>
      </c>
      <c r="D96" s="174">
        <f t="shared" ref="D96:D110" si="45">SUM(E96:H96)</f>
        <v>0</v>
      </c>
      <c r="E96" s="139">
        <v>0</v>
      </c>
      <c r="F96" s="139">
        <v>0</v>
      </c>
      <c r="G96" s="139">
        <v>0</v>
      </c>
      <c r="H96" s="139">
        <v>0</v>
      </c>
      <c r="I96" s="122">
        <f>I97+I98</f>
        <v>0</v>
      </c>
      <c r="J96" s="122">
        <f>J97+J98</f>
        <v>0</v>
      </c>
      <c r="K96" s="122">
        <f>K97+K98</f>
        <v>0</v>
      </c>
      <c r="L96" s="122">
        <f>L97+L98</f>
        <v>0</v>
      </c>
      <c r="M96" s="122">
        <f>M97+M98</f>
        <v>0</v>
      </c>
      <c r="N96" s="122">
        <f t="shared" ref="N96:N110" si="46">D96-I96</f>
        <v>0</v>
      </c>
      <c r="O96" s="214" t="e">
        <f t="shared" si="44"/>
        <v>#DIV/0!</v>
      </c>
      <c r="P96" s="122">
        <f t="shared" ref="P96:P110" si="47">E96-J96</f>
        <v>0</v>
      </c>
      <c r="Q96" s="213" t="s">
        <v>256</v>
      </c>
      <c r="R96" s="122">
        <f t="shared" ref="R96:R110" si="48">F96-K96</f>
        <v>0</v>
      </c>
      <c r="S96" s="213" t="s">
        <v>256</v>
      </c>
      <c r="T96" s="122">
        <f t="shared" ref="T96:T110" si="49">G96-L96</f>
        <v>0</v>
      </c>
      <c r="U96" s="214" t="e">
        <f t="shared" si="43"/>
        <v>#DIV/0!</v>
      </c>
      <c r="V96" s="122">
        <f t="shared" ref="V96:V110" si="50">H96-M96</f>
        <v>0</v>
      </c>
      <c r="W96" s="163" t="s">
        <v>256</v>
      </c>
      <c r="X96" s="136">
        <f>'10'!T79</f>
        <v>0</v>
      </c>
      <c r="Y96" s="62"/>
    </row>
    <row r="97" spans="1:25" ht="78.75">
      <c r="A97" s="201" t="s">
        <v>945</v>
      </c>
      <c r="B97" s="509" t="s">
        <v>946</v>
      </c>
      <c r="C97" s="202" t="s">
        <v>876</v>
      </c>
      <c r="D97" s="174">
        <f t="shared" si="45"/>
        <v>0</v>
      </c>
      <c r="E97" s="139">
        <v>0</v>
      </c>
      <c r="F97" s="139">
        <v>0</v>
      </c>
      <c r="G97" s="139">
        <v>0</v>
      </c>
      <c r="H97" s="139">
        <v>0</v>
      </c>
      <c r="I97" s="122">
        <f>SUM(J97:M97)</f>
        <v>0</v>
      </c>
      <c r="J97" s="122">
        <v>0</v>
      </c>
      <c r="K97" s="122">
        <v>0</v>
      </c>
      <c r="L97" s="122">
        <v>0</v>
      </c>
      <c r="M97" s="122">
        <v>0</v>
      </c>
      <c r="N97" s="122">
        <f t="shared" si="46"/>
        <v>0</v>
      </c>
      <c r="O97" s="214" t="e">
        <f t="shared" si="44"/>
        <v>#DIV/0!</v>
      </c>
      <c r="P97" s="122">
        <f t="shared" si="47"/>
        <v>0</v>
      </c>
      <c r="Q97" s="213" t="s">
        <v>256</v>
      </c>
      <c r="R97" s="122">
        <f t="shared" si="48"/>
        <v>0</v>
      </c>
      <c r="S97" s="213" t="s">
        <v>256</v>
      </c>
      <c r="T97" s="122">
        <f t="shared" si="49"/>
        <v>0</v>
      </c>
      <c r="U97" s="214" t="e">
        <f t="shared" si="43"/>
        <v>#DIV/0!</v>
      </c>
      <c r="V97" s="122">
        <f t="shared" si="50"/>
        <v>0</v>
      </c>
      <c r="W97" s="163" t="s">
        <v>256</v>
      </c>
      <c r="X97" s="136">
        <f>'10'!T80</f>
        <v>0</v>
      </c>
      <c r="Y97" s="62"/>
    </row>
    <row r="98" spans="1:25" ht="78.75">
      <c r="A98" s="201" t="s">
        <v>947</v>
      </c>
      <c r="B98" s="509" t="s">
        <v>948</v>
      </c>
      <c r="C98" s="202" t="s">
        <v>876</v>
      </c>
      <c r="D98" s="174">
        <f t="shared" si="45"/>
        <v>0</v>
      </c>
      <c r="E98" s="139">
        <v>0</v>
      </c>
      <c r="F98" s="139">
        <v>0</v>
      </c>
      <c r="G98" s="139">
        <v>0</v>
      </c>
      <c r="H98" s="139">
        <v>0</v>
      </c>
      <c r="I98" s="122">
        <f>SUM(J98:M98)</f>
        <v>0</v>
      </c>
      <c r="J98" s="122">
        <v>0</v>
      </c>
      <c r="K98" s="122">
        <v>0</v>
      </c>
      <c r="L98" s="122">
        <v>0</v>
      </c>
      <c r="M98" s="122">
        <v>0</v>
      </c>
      <c r="N98" s="122">
        <f t="shared" si="46"/>
        <v>0</v>
      </c>
      <c r="O98" s="214" t="e">
        <f t="shared" si="44"/>
        <v>#DIV/0!</v>
      </c>
      <c r="P98" s="122">
        <f t="shared" si="47"/>
        <v>0</v>
      </c>
      <c r="Q98" s="213" t="s">
        <v>256</v>
      </c>
      <c r="R98" s="122">
        <f t="shared" si="48"/>
        <v>0</v>
      </c>
      <c r="S98" s="213" t="s">
        <v>256</v>
      </c>
      <c r="T98" s="122">
        <f t="shared" si="49"/>
        <v>0</v>
      </c>
      <c r="U98" s="214" t="e">
        <f t="shared" si="43"/>
        <v>#DIV/0!</v>
      </c>
      <c r="V98" s="122">
        <f t="shared" si="50"/>
        <v>0</v>
      </c>
      <c r="W98" s="163" t="s">
        <v>256</v>
      </c>
      <c r="X98" s="136">
        <f>'10'!T81</f>
        <v>0</v>
      </c>
      <c r="Y98" s="62"/>
    </row>
    <row r="99" spans="1:25" ht="31.5">
      <c r="A99" s="201" t="s">
        <v>949</v>
      </c>
      <c r="B99" s="509" t="s">
        <v>884</v>
      </c>
      <c r="C99" s="198" t="s">
        <v>876</v>
      </c>
      <c r="D99" s="174">
        <f t="shared" si="45"/>
        <v>1.7919376000000002</v>
      </c>
      <c r="E99" s="139">
        <v>0</v>
      </c>
      <c r="F99" s="139">
        <v>0</v>
      </c>
      <c r="G99" s="139">
        <v>0</v>
      </c>
      <c r="H99" s="139">
        <f>SUM(H100:H101)</f>
        <v>1.7919376000000002</v>
      </c>
      <c r="I99" s="122">
        <f>I100+I101</f>
        <v>1.7919376000000002</v>
      </c>
      <c r="J99" s="122">
        <f>J100+J101</f>
        <v>0</v>
      </c>
      <c r="K99" s="122">
        <f>K100+K101</f>
        <v>0</v>
      </c>
      <c r="L99" s="122">
        <f>L100+L101</f>
        <v>1.7919376000000002</v>
      </c>
      <c r="M99" s="122">
        <f>M100+M101</f>
        <v>0</v>
      </c>
      <c r="N99" s="122">
        <f t="shared" si="46"/>
        <v>0</v>
      </c>
      <c r="O99" s="214">
        <f t="shared" si="44"/>
        <v>100</v>
      </c>
      <c r="P99" s="122">
        <f t="shared" si="47"/>
        <v>0</v>
      </c>
      <c r="Q99" s="213" t="s">
        <v>256</v>
      </c>
      <c r="R99" s="122">
        <f t="shared" si="48"/>
        <v>0</v>
      </c>
      <c r="S99" s="213" t="s">
        <v>256</v>
      </c>
      <c r="T99" s="122">
        <f t="shared" si="49"/>
        <v>-1.7919376000000002</v>
      </c>
      <c r="U99" s="214" t="e">
        <f t="shared" si="43"/>
        <v>#DIV/0!</v>
      </c>
      <c r="V99" s="122">
        <f t="shared" si="50"/>
        <v>1.7919376000000002</v>
      </c>
      <c r="W99" s="163" t="s">
        <v>256</v>
      </c>
      <c r="X99" s="136">
        <f>'10'!T82</f>
        <v>0</v>
      </c>
      <c r="Y99" s="62"/>
    </row>
    <row r="100" spans="1:25" s="151" customFormat="1" ht="63">
      <c r="A100" s="208" t="s">
        <v>843</v>
      </c>
      <c r="B100" s="209" t="s">
        <v>1072</v>
      </c>
      <c r="C100" s="210" t="s">
        <v>1088</v>
      </c>
      <c r="D100" s="174">
        <f t="shared" si="45"/>
        <v>1.1216254000000001</v>
      </c>
      <c r="E100" s="139">
        <v>0</v>
      </c>
      <c r="F100" s="139">
        <v>0</v>
      </c>
      <c r="G100" s="139">
        <v>0</v>
      </c>
      <c r="H100" s="139">
        <v>1.1216254000000001</v>
      </c>
      <c r="I100" s="122">
        <f>SUM(J100:M100)</f>
        <v>1.1216254000000001</v>
      </c>
      <c r="J100" s="122">
        <v>0</v>
      </c>
      <c r="K100" s="122">
        <v>0</v>
      </c>
      <c r="L100" s="122">
        <f>'10'!H83</f>
        <v>1.1216254000000001</v>
      </c>
      <c r="M100" s="122">
        <v>0</v>
      </c>
      <c r="N100" s="122">
        <f t="shared" si="46"/>
        <v>0</v>
      </c>
      <c r="O100" s="214">
        <f t="shared" si="44"/>
        <v>100</v>
      </c>
      <c r="P100" s="122">
        <v>0</v>
      </c>
      <c r="Q100" s="213" t="s">
        <v>256</v>
      </c>
      <c r="R100" s="122">
        <v>0</v>
      </c>
      <c r="S100" s="213" t="s">
        <v>256</v>
      </c>
      <c r="T100" s="122">
        <f t="shared" si="49"/>
        <v>-1.1216254000000001</v>
      </c>
      <c r="U100" s="214" t="e">
        <f t="shared" si="43"/>
        <v>#DIV/0!</v>
      </c>
      <c r="V100" s="122">
        <v>0</v>
      </c>
      <c r="W100" s="163" t="s">
        <v>256</v>
      </c>
      <c r="X100" s="170" t="str">
        <f>'10'!T83</f>
        <v>Финансирование освоенного инвестиционного проекта 2017 года</v>
      </c>
      <c r="Y100" s="62"/>
    </row>
    <row r="101" spans="1:25" s="151" customFormat="1" ht="47.25">
      <c r="A101" s="208" t="s">
        <v>844</v>
      </c>
      <c r="B101" s="209" t="s">
        <v>1073</v>
      </c>
      <c r="C101" s="210" t="s">
        <v>1087</v>
      </c>
      <c r="D101" s="174">
        <f t="shared" si="45"/>
        <v>0.67031220000000002</v>
      </c>
      <c r="E101" s="139">
        <v>0</v>
      </c>
      <c r="F101" s="139">
        <v>0</v>
      </c>
      <c r="G101" s="139">
        <v>0</v>
      </c>
      <c r="H101" s="139">
        <v>0.67031220000000002</v>
      </c>
      <c r="I101" s="122">
        <f>SUM(J101:M101)</f>
        <v>0.67031220000000002</v>
      </c>
      <c r="J101" s="122">
        <v>0</v>
      </c>
      <c r="K101" s="122">
        <v>0</v>
      </c>
      <c r="L101" s="122">
        <f>'10'!H84</f>
        <v>0.67031220000000002</v>
      </c>
      <c r="M101" s="122">
        <v>0</v>
      </c>
      <c r="N101" s="122">
        <f t="shared" si="46"/>
        <v>0</v>
      </c>
      <c r="O101" s="214">
        <f t="shared" si="44"/>
        <v>100</v>
      </c>
      <c r="P101" s="122">
        <v>0</v>
      </c>
      <c r="Q101" s="213" t="s">
        <v>256</v>
      </c>
      <c r="R101" s="122">
        <v>0</v>
      </c>
      <c r="S101" s="213" t="s">
        <v>256</v>
      </c>
      <c r="T101" s="122">
        <f t="shared" si="49"/>
        <v>-0.67031220000000002</v>
      </c>
      <c r="U101" s="214" t="e">
        <f t="shared" si="43"/>
        <v>#DIV/0!</v>
      </c>
      <c r="V101" s="122">
        <v>0</v>
      </c>
      <c r="W101" s="163" t="s">
        <v>256</v>
      </c>
      <c r="X101" s="170" t="str">
        <f>'10'!T84</f>
        <v>Финансирование освоенного инвестиционного проекта 2017 года</v>
      </c>
      <c r="Y101" s="62"/>
    </row>
    <row r="102" spans="1:25" ht="47.25">
      <c r="A102" s="201" t="s">
        <v>950</v>
      </c>
      <c r="B102" s="509" t="s">
        <v>951</v>
      </c>
      <c r="C102" s="202" t="s">
        <v>876</v>
      </c>
      <c r="D102" s="174">
        <f t="shared" si="45"/>
        <v>0</v>
      </c>
      <c r="E102" s="139">
        <v>0</v>
      </c>
      <c r="F102" s="139">
        <v>0</v>
      </c>
      <c r="G102" s="139">
        <v>0</v>
      </c>
      <c r="H102" s="139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f t="shared" si="46"/>
        <v>0</v>
      </c>
      <c r="O102" s="214" t="e">
        <f t="shared" si="44"/>
        <v>#DIV/0!</v>
      </c>
      <c r="P102" s="122">
        <f t="shared" si="47"/>
        <v>0</v>
      </c>
      <c r="Q102" s="213" t="s">
        <v>256</v>
      </c>
      <c r="R102" s="122">
        <f t="shared" si="48"/>
        <v>0</v>
      </c>
      <c r="S102" s="213" t="s">
        <v>256</v>
      </c>
      <c r="T102" s="122">
        <f t="shared" si="49"/>
        <v>0</v>
      </c>
      <c r="U102" s="214" t="e">
        <f t="shared" si="43"/>
        <v>#DIV/0!</v>
      </c>
      <c r="V102" s="122">
        <f t="shared" si="50"/>
        <v>0</v>
      </c>
      <c r="W102" s="163" t="s">
        <v>256</v>
      </c>
      <c r="X102" s="136">
        <f>'10'!T85</f>
        <v>0</v>
      </c>
      <c r="Y102" s="62"/>
    </row>
    <row r="103" spans="1:25" ht="31.5">
      <c r="A103" s="201" t="s">
        <v>952</v>
      </c>
      <c r="B103" s="509" t="s">
        <v>953</v>
      </c>
      <c r="C103" s="202" t="s">
        <v>876</v>
      </c>
      <c r="D103" s="174">
        <f t="shared" si="45"/>
        <v>8.9344798730000008</v>
      </c>
      <c r="E103" s="139">
        <v>0</v>
      </c>
      <c r="F103" s="139">
        <v>0</v>
      </c>
      <c r="G103" s="139">
        <f>G104</f>
        <v>8.9344798730000008</v>
      </c>
      <c r="H103" s="139">
        <v>0</v>
      </c>
      <c r="I103" s="122">
        <f>I104</f>
        <v>8.9344798730000008</v>
      </c>
      <c r="J103" s="122">
        <f t="shared" ref="J103:M103" si="51">J104</f>
        <v>0</v>
      </c>
      <c r="K103" s="122">
        <f t="shared" si="51"/>
        <v>0</v>
      </c>
      <c r="L103" s="122">
        <f t="shared" si="51"/>
        <v>8.9344798730000008</v>
      </c>
      <c r="M103" s="122">
        <f t="shared" si="51"/>
        <v>0</v>
      </c>
      <c r="N103" s="122">
        <f t="shared" si="46"/>
        <v>0</v>
      </c>
      <c r="O103" s="212">
        <f t="shared" si="44"/>
        <v>100</v>
      </c>
      <c r="P103" s="122">
        <f t="shared" si="47"/>
        <v>0</v>
      </c>
      <c r="Q103" s="213" t="s">
        <v>256</v>
      </c>
      <c r="R103" s="122">
        <f t="shared" si="48"/>
        <v>0</v>
      </c>
      <c r="S103" s="213" t="s">
        <v>256</v>
      </c>
      <c r="T103" s="122">
        <f t="shared" si="49"/>
        <v>0</v>
      </c>
      <c r="U103" s="212">
        <f t="shared" si="43"/>
        <v>100</v>
      </c>
      <c r="V103" s="122">
        <f t="shared" si="50"/>
        <v>0</v>
      </c>
      <c r="W103" s="163" t="s">
        <v>256</v>
      </c>
      <c r="X103" s="136" t="e">
        <f>'10'!#REF!</f>
        <v>#REF!</v>
      </c>
      <c r="Y103" s="62"/>
    </row>
    <row r="104" spans="1:25">
      <c r="A104" s="201" t="s">
        <v>952</v>
      </c>
      <c r="B104" s="509" t="s">
        <v>954</v>
      </c>
      <c r="C104" s="202" t="s">
        <v>876</v>
      </c>
      <c r="D104" s="174">
        <f t="shared" si="45"/>
        <v>8.9344798730000008</v>
      </c>
      <c r="E104" s="139">
        <v>0</v>
      </c>
      <c r="F104" s="139">
        <v>0</v>
      </c>
      <c r="G104" s="139">
        <f>G105+G106</f>
        <v>8.9344798730000008</v>
      </c>
      <c r="H104" s="139">
        <v>0</v>
      </c>
      <c r="I104" s="122">
        <f>I105+I106</f>
        <v>8.9344798730000008</v>
      </c>
      <c r="J104" s="122">
        <f>J105+J106</f>
        <v>0</v>
      </c>
      <c r="K104" s="122">
        <f>K105+K106</f>
        <v>0</v>
      </c>
      <c r="L104" s="122">
        <f>L105+L106</f>
        <v>8.9344798730000008</v>
      </c>
      <c r="M104" s="122">
        <f>M105+M106</f>
        <v>0</v>
      </c>
      <c r="N104" s="122">
        <f t="shared" si="46"/>
        <v>0</v>
      </c>
      <c r="O104" s="212">
        <f t="shared" si="44"/>
        <v>100</v>
      </c>
      <c r="P104" s="122">
        <f t="shared" si="47"/>
        <v>0</v>
      </c>
      <c r="Q104" s="213" t="s">
        <v>256</v>
      </c>
      <c r="R104" s="122">
        <f t="shared" si="48"/>
        <v>0</v>
      </c>
      <c r="S104" s="213" t="s">
        <v>256</v>
      </c>
      <c r="T104" s="122">
        <f t="shared" si="49"/>
        <v>0</v>
      </c>
      <c r="U104" s="212">
        <f t="shared" si="43"/>
        <v>100</v>
      </c>
      <c r="V104" s="122">
        <f t="shared" si="50"/>
        <v>0</v>
      </c>
      <c r="W104" s="163" t="s">
        <v>256</v>
      </c>
      <c r="X104" s="136">
        <f>'10'!T86</f>
        <v>0</v>
      </c>
      <c r="Y104" s="62"/>
    </row>
    <row r="105" spans="1:25" ht="47.25">
      <c r="A105" s="201" t="s">
        <v>955</v>
      </c>
      <c r="B105" s="510" t="s">
        <v>956</v>
      </c>
      <c r="C105" s="204" t="s">
        <v>957</v>
      </c>
      <c r="D105" s="174">
        <f t="shared" si="45"/>
        <v>0.82947987300000003</v>
      </c>
      <c r="E105" s="139">
        <v>0</v>
      </c>
      <c r="F105" s="139">
        <v>0</v>
      </c>
      <c r="G105" s="139">
        <f>'10'!G87</f>
        <v>0.82947987300000003</v>
      </c>
      <c r="H105" s="139">
        <v>0</v>
      </c>
      <c r="I105" s="122">
        <f>SUM(J105:M105)</f>
        <v>0.82947987300000003</v>
      </c>
      <c r="J105" s="122">
        <v>0</v>
      </c>
      <c r="K105" s="122">
        <v>0</v>
      </c>
      <c r="L105" s="122">
        <f>'10'!H87</f>
        <v>0.82947987300000003</v>
      </c>
      <c r="M105" s="122">
        <v>0</v>
      </c>
      <c r="N105" s="122">
        <f t="shared" si="46"/>
        <v>0</v>
      </c>
      <c r="O105" s="212">
        <f t="shared" si="44"/>
        <v>100</v>
      </c>
      <c r="P105" s="122">
        <f t="shared" si="47"/>
        <v>0</v>
      </c>
      <c r="Q105" s="213" t="s">
        <v>256</v>
      </c>
      <c r="R105" s="122">
        <f t="shared" si="48"/>
        <v>0</v>
      </c>
      <c r="S105" s="213" t="s">
        <v>256</v>
      </c>
      <c r="T105" s="122">
        <f t="shared" si="49"/>
        <v>0</v>
      </c>
      <c r="U105" s="212">
        <f t="shared" si="43"/>
        <v>100</v>
      </c>
      <c r="V105" s="122">
        <f t="shared" si="50"/>
        <v>0</v>
      </c>
      <c r="W105" s="163" t="s">
        <v>256</v>
      </c>
      <c r="X105" s="136">
        <f>'10'!T87</f>
        <v>0</v>
      </c>
      <c r="Y105" s="62"/>
    </row>
    <row r="106" spans="1:25" ht="47.25">
      <c r="A106" s="201" t="s">
        <v>958</v>
      </c>
      <c r="B106" s="510" t="s">
        <v>959</v>
      </c>
      <c r="C106" s="204" t="s">
        <v>876</v>
      </c>
      <c r="D106" s="174">
        <f t="shared" si="45"/>
        <v>8.1050000000000004</v>
      </c>
      <c r="E106" s="140">
        <v>0</v>
      </c>
      <c r="F106" s="140">
        <v>0</v>
      </c>
      <c r="G106" s="139">
        <f>'10'!G88</f>
        <v>8.1050000000000004</v>
      </c>
      <c r="H106" s="140">
        <v>0</v>
      </c>
      <c r="I106" s="122">
        <f>I107+I108+I109+I110</f>
        <v>8.1050000000000004</v>
      </c>
      <c r="J106" s="122">
        <f>J107+J108+J109+J110</f>
        <v>0</v>
      </c>
      <c r="K106" s="122">
        <f>K107+K108+K109+K110</f>
        <v>0</v>
      </c>
      <c r="L106" s="122">
        <f>L107+L108+L109+L110</f>
        <v>8.1050000000000004</v>
      </c>
      <c r="M106" s="122">
        <f>M107+M108+M109+M110</f>
        <v>0</v>
      </c>
      <c r="N106" s="122">
        <f t="shared" si="46"/>
        <v>0</v>
      </c>
      <c r="O106" s="212">
        <f t="shared" si="44"/>
        <v>100</v>
      </c>
      <c r="P106" s="122">
        <f t="shared" si="47"/>
        <v>0</v>
      </c>
      <c r="Q106" s="213" t="s">
        <v>256</v>
      </c>
      <c r="R106" s="122">
        <f t="shared" si="48"/>
        <v>0</v>
      </c>
      <c r="S106" s="213" t="s">
        <v>256</v>
      </c>
      <c r="T106" s="122">
        <f t="shared" si="49"/>
        <v>0</v>
      </c>
      <c r="U106" s="212">
        <f t="shared" si="43"/>
        <v>100</v>
      </c>
      <c r="V106" s="122">
        <f t="shared" si="50"/>
        <v>0</v>
      </c>
      <c r="W106" s="163" t="s">
        <v>256</v>
      </c>
      <c r="X106" s="136">
        <f>'10'!T88</f>
        <v>0</v>
      </c>
      <c r="Y106" s="62"/>
    </row>
    <row r="107" spans="1:25" ht="47.25">
      <c r="A107" s="201" t="s">
        <v>960</v>
      </c>
      <c r="B107" s="510" t="s">
        <v>961</v>
      </c>
      <c r="C107" s="204" t="s">
        <v>962</v>
      </c>
      <c r="D107" s="174">
        <f t="shared" si="45"/>
        <v>2.0750000000000002</v>
      </c>
      <c r="E107" s="139">
        <v>0</v>
      </c>
      <c r="F107" s="139">
        <v>0</v>
      </c>
      <c r="G107" s="139">
        <f>'10'!G89</f>
        <v>2.0750000000000002</v>
      </c>
      <c r="H107" s="139">
        <v>0</v>
      </c>
      <c r="I107" s="122">
        <f t="shared" ref="I107:I110" si="52">SUM(J107:M107)</f>
        <v>2.0750000000000002</v>
      </c>
      <c r="J107" s="122">
        <v>0</v>
      </c>
      <c r="K107" s="122">
        <v>0</v>
      </c>
      <c r="L107" s="122">
        <f>'10'!H89</f>
        <v>2.0750000000000002</v>
      </c>
      <c r="M107" s="122">
        <v>0</v>
      </c>
      <c r="N107" s="122">
        <f t="shared" si="46"/>
        <v>0</v>
      </c>
      <c r="O107" s="212">
        <f t="shared" si="44"/>
        <v>100</v>
      </c>
      <c r="P107" s="122">
        <f t="shared" si="47"/>
        <v>0</v>
      </c>
      <c r="Q107" s="213" t="s">
        <v>256</v>
      </c>
      <c r="R107" s="122">
        <f t="shared" si="48"/>
        <v>0</v>
      </c>
      <c r="S107" s="213" t="s">
        <v>256</v>
      </c>
      <c r="T107" s="122">
        <f t="shared" si="49"/>
        <v>0</v>
      </c>
      <c r="U107" s="212">
        <f t="shared" si="43"/>
        <v>100</v>
      </c>
      <c r="V107" s="122">
        <f t="shared" si="50"/>
        <v>0</v>
      </c>
      <c r="W107" s="163" t="s">
        <v>256</v>
      </c>
      <c r="X107" s="136">
        <f>'10'!T89</f>
        <v>0</v>
      </c>
      <c r="Y107" s="62"/>
    </row>
    <row r="108" spans="1:25" ht="47.25">
      <c r="A108" s="201" t="s">
        <v>963</v>
      </c>
      <c r="B108" s="510" t="s">
        <v>964</v>
      </c>
      <c r="C108" s="204" t="s">
        <v>965</v>
      </c>
      <c r="D108" s="174">
        <f t="shared" si="45"/>
        <v>0.44499999999999995</v>
      </c>
      <c r="E108" s="139">
        <v>0</v>
      </c>
      <c r="F108" s="139">
        <v>0</v>
      </c>
      <c r="G108" s="139">
        <f>'10'!G90</f>
        <v>0.44499999999999995</v>
      </c>
      <c r="H108" s="139">
        <v>0</v>
      </c>
      <c r="I108" s="122">
        <f t="shared" si="52"/>
        <v>0.44499999999999995</v>
      </c>
      <c r="J108" s="122">
        <v>0</v>
      </c>
      <c r="K108" s="122">
        <v>0</v>
      </c>
      <c r="L108" s="122">
        <f>'10'!H90</f>
        <v>0.44499999999999995</v>
      </c>
      <c r="M108" s="122">
        <v>0</v>
      </c>
      <c r="N108" s="122">
        <f t="shared" si="46"/>
        <v>0</v>
      </c>
      <c r="O108" s="212">
        <f t="shared" si="44"/>
        <v>100</v>
      </c>
      <c r="P108" s="122">
        <f t="shared" si="47"/>
        <v>0</v>
      </c>
      <c r="Q108" s="213" t="s">
        <v>256</v>
      </c>
      <c r="R108" s="122">
        <f t="shared" si="48"/>
        <v>0</v>
      </c>
      <c r="S108" s="213" t="s">
        <v>256</v>
      </c>
      <c r="T108" s="122">
        <f t="shared" si="49"/>
        <v>0</v>
      </c>
      <c r="U108" s="212">
        <f t="shared" si="43"/>
        <v>100</v>
      </c>
      <c r="V108" s="122">
        <f t="shared" si="50"/>
        <v>0</v>
      </c>
      <c r="W108" s="163" t="s">
        <v>256</v>
      </c>
      <c r="X108" s="136">
        <f>'10'!T90</f>
        <v>0</v>
      </c>
      <c r="Y108" s="62"/>
    </row>
    <row r="109" spans="1:25" ht="47.25">
      <c r="A109" s="201" t="s">
        <v>966</v>
      </c>
      <c r="B109" s="510" t="s">
        <v>967</v>
      </c>
      <c r="C109" s="204" t="s">
        <v>968</v>
      </c>
      <c r="D109" s="174">
        <f t="shared" si="45"/>
        <v>3.9950000000000001</v>
      </c>
      <c r="E109" s="139">
        <v>0</v>
      </c>
      <c r="F109" s="139">
        <v>0</v>
      </c>
      <c r="G109" s="139">
        <f>'10'!G91</f>
        <v>3.9950000000000001</v>
      </c>
      <c r="H109" s="139">
        <v>0</v>
      </c>
      <c r="I109" s="122">
        <f t="shared" si="52"/>
        <v>3.9949999999999997</v>
      </c>
      <c r="J109" s="122">
        <v>0</v>
      </c>
      <c r="K109" s="122">
        <v>0</v>
      </c>
      <c r="L109" s="122">
        <f>'10'!H91</f>
        <v>3.9949999999999997</v>
      </c>
      <c r="M109" s="122">
        <v>0</v>
      </c>
      <c r="N109" s="122">
        <f t="shared" si="46"/>
        <v>0</v>
      </c>
      <c r="O109" s="212">
        <f t="shared" si="44"/>
        <v>99.999999999999986</v>
      </c>
      <c r="P109" s="122">
        <f t="shared" si="47"/>
        <v>0</v>
      </c>
      <c r="Q109" s="213" t="s">
        <v>256</v>
      </c>
      <c r="R109" s="122">
        <f t="shared" si="48"/>
        <v>0</v>
      </c>
      <c r="S109" s="213" t="s">
        <v>256</v>
      </c>
      <c r="T109" s="122">
        <f t="shared" si="49"/>
        <v>0</v>
      </c>
      <c r="U109" s="212">
        <f t="shared" si="43"/>
        <v>99.999999999999986</v>
      </c>
      <c r="V109" s="122">
        <f t="shared" si="50"/>
        <v>0</v>
      </c>
      <c r="W109" s="163" t="s">
        <v>256</v>
      </c>
      <c r="X109" s="136">
        <f>'10'!T91</f>
        <v>0</v>
      </c>
      <c r="Y109" s="62"/>
    </row>
    <row r="110" spans="1:25" ht="63">
      <c r="A110" s="201" t="s">
        <v>969</v>
      </c>
      <c r="B110" s="510" t="s">
        <v>970</v>
      </c>
      <c r="C110" s="204" t="s">
        <v>971</v>
      </c>
      <c r="D110" s="174">
        <f t="shared" si="45"/>
        <v>1.59</v>
      </c>
      <c r="E110" s="139">
        <v>0</v>
      </c>
      <c r="F110" s="139">
        <v>0</v>
      </c>
      <c r="G110" s="139">
        <f>'10'!G92</f>
        <v>1.59</v>
      </c>
      <c r="H110" s="139">
        <v>0</v>
      </c>
      <c r="I110" s="122">
        <f t="shared" si="52"/>
        <v>1.59</v>
      </c>
      <c r="J110" s="122">
        <v>0</v>
      </c>
      <c r="K110" s="122">
        <v>0</v>
      </c>
      <c r="L110" s="122">
        <f>'10'!H92</f>
        <v>1.59</v>
      </c>
      <c r="M110" s="122">
        <v>0</v>
      </c>
      <c r="N110" s="122">
        <f t="shared" si="46"/>
        <v>0</v>
      </c>
      <c r="O110" s="212">
        <f t="shared" si="44"/>
        <v>100</v>
      </c>
      <c r="P110" s="122">
        <f t="shared" si="47"/>
        <v>0</v>
      </c>
      <c r="Q110" s="213" t="s">
        <v>256</v>
      </c>
      <c r="R110" s="122">
        <f t="shared" si="48"/>
        <v>0</v>
      </c>
      <c r="S110" s="213" t="s">
        <v>256</v>
      </c>
      <c r="T110" s="122">
        <f t="shared" si="49"/>
        <v>0</v>
      </c>
      <c r="U110" s="212">
        <f t="shared" si="43"/>
        <v>100</v>
      </c>
      <c r="V110" s="122">
        <f t="shared" si="50"/>
        <v>0</v>
      </c>
      <c r="W110" s="163" t="s">
        <v>256</v>
      </c>
      <c r="X110" s="136">
        <f>'10'!T92</f>
        <v>0</v>
      </c>
      <c r="Y110" s="62"/>
    </row>
    <row r="111" spans="1:25" ht="47.25" customHeight="1">
      <c r="A111" s="696" t="s">
        <v>21</v>
      </c>
      <c r="B111" s="696"/>
      <c r="C111" s="696"/>
      <c r="D111" s="143">
        <f>D22</f>
        <v>27.223721273000002</v>
      </c>
      <c r="E111" s="143">
        <f t="shared" ref="E111:W111" si="53">E22</f>
        <v>0</v>
      </c>
      <c r="F111" s="143">
        <f t="shared" si="53"/>
        <v>0</v>
      </c>
      <c r="G111" s="143">
        <f t="shared" si="53"/>
        <v>21.298983073000002</v>
      </c>
      <c r="H111" s="143">
        <f t="shared" si="53"/>
        <v>5.9247382000000002</v>
      </c>
      <c r="I111" s="143">
        <f t="shared" si="53"/>
        <v>19.704213827400004</v>
      </c>
      <c r="J111" s="143">
        <f t="shared" si="53"/>
        <v>0</v>
      </c>
      <c r="K111" s="143">
        <f t="shared" si="53"/>
        <v>0</v>
      </c>
      <c r="L111" s="143">
        <f t="shared" si="53"/>
        <v>19.704213827400004</v>
      </c>
      <c r="M111" s="143">
        <f t="shared" si="53"/>
        <v>0</v>
      </c>
      <c r="N111" s="143">
        <f t="shared" si="53"/>
        <v>7.5195074455999986</v>
      </c>
      <c r="O111" s="217">
        <f t="shared" si="53"/>
        <v>72.378840606711208</v>
      </c>
      <c r="P111" s="143">
        <f t="shared" si="53"/>
        <v>0</v>
      </c>
      <c r="Q111" s="143" t="str">
        <f t="shared" si="53"/>
        <v>-</v>
      </c>
      <c r="R111" s="143">
        <f t="shared" si="53"/>
        <v>0</v>
      </c>
      <c r="S111" s="143" t="str">
        <f t="shared" si="53"/>
        <v>-</v>
      </c>
      <c r="T111" s="143">
        <f t="shared" si="53"/>
        <v>1.5947692455999984</v>
      </c>
      <c r="U111" s="217">
        <f t="shared" si="53"/>
        <v>92.51246296532517</v>
      </c>
      <c r="V111" s="143">
        <f t="shared" si="53"/>
        <v>5.9247382000000002</v>
      </c>
      <c r="W111" s="114" t="str">
        <f t="shared" si="53"/>
        <v>-</v>
      </c>
      <c r="X111" s="166"/>
      <c r="Y111" s="62"/>
    </row>
  </sheetData>
  <autoFilter ref="A21:Y111"/>
  <mergeCells count="32">
    <mergeCell ref="N16:W17"/>
    <mergeCell ref="A5:X5"/>
    <mergeCell ref="A4:X4"/>
    <mergeCell ref="A6:X6"/>
    <mergeCell ref="A8:X8"/>
    <mergeCell ref="A10:X10"/>
    <mergeCell ref="A111:C111"/>
    <mergeCell ref="H19:H20"/>
    <mergeCell ref="I19:I20"/>
    <mergeCell ref="A12:X12"/>
    <mergeCell ref="A13:X13"/>
    <mergeCell ref="L19:L20"/>
    <mergeCell ref="M19:M20"/>
    <mergeCell ref="X16:X20"/>
    <mergeCell ref="D17:M17"/>
    <mergeCell ref="D18:H18"/>
    <mergeCell ref="I18:M18"/>
    <mergeCell ref="N18:O19"/>
    <mergeCell ref="P18:Q19"/>
    <mergeCell ref="R18:S19"/>
    <mergeCell ref="T18:U19"/>
    <mergeCell ref="V18:W19"/>
    <mergeCell ref="J19:J20"/>
    <mergeCell ref="K19:K20"/>
    <mergeCell ref="A16:A20"/>
    <mergeCell ref="B16:B20"/>
    <mergeCell ref="C16:C20"/>
    <mergeCell ref="G19:G20"/>
    <mergeCell ref="E19:E20"/>
    <mergeCell ref="F19:F20"/>
    <mergeCell ref="D19:D20"/>
    <mergeCell ref="D16:M16"/>
  </mergeCells>
  <pageMargins left="0.19685039370078741" right="0.19685039370078741" top="0.2" bottom="0.2" header="0.2" footer="0.2"/>
  <pageSetup paperSize="9" scale="31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V111"/>
  <sheetViews>
    <sheetView topLeftCell="A64" zoomScale="55" zoomScaleNormal="55" workbookViewId="0">
      <selection activeCell="W1" sqref="W1:BW1048576"/>
    </sheetView>
  </sheetViews>
  <sheetFormatPr defaultRowHeight="15.75" outlineLevelCol="1"/>
  <cols>
    <col min="1" max="1" width="17.5703125" style="596" customWidth="1"/>
    <col min="2" max="2" width="44.85546875" style="594" customWidth="1"/>
    <col min="3" max="3" width="19.42578125" style="594" customWidth="1"/>
    <col min="4" max="4" width="34" style="594" customWidth="1"/>
    <col min="5" max="5" width="20.28515625" style="594" customWidth="1"/>
    <col min="6" max="7" width="15.42578125" style="594" customWidth="1"/>
    <col min="8" max="8" width="9.28515625" style="594" bestFit="1" customWidth="1"/>
    <col min="9" max="9" width="14.5703125" style="594" bestFit="1" customWidth="1"/>
    <col min="10" max="10" width="9.28515625" style="594" customWidth="1" outlineLevel="1"/>
    <col min="11" max="11" width="14.5703125" style="594" customWidth="1" outlineLevel="1"/>
    <col min="12" max="12" width="9.28515625" style="594" customWidth="1" outlineLevel="1"/>
    <col min="13" max="13" width="14.85546875" style="594" customWidth="1" outlineLevel="1"/>
    <col min="14" max="17" width="9.28515625" style="594" customWidth="1" outlineLevel="1"/>
    <col min="18" max="21" width="14" style="594" customWidth="1"/>
    <col min="22" max="22" width="42.42578125" style="594" customWidth="1"/>
    <col min="23" max="16384" width="9.140625" style="120"/>
  </cols>
  <sheetData>
    <row r="1" spans="1:22">
      <c r="S1" s="596" t="s">
        <v>496</v>
      </c>
    </row>
    <row r="2" spans="1:22">
      <c r="S2" s="596" t="s">
        <v>23</v>
      </c>
    </row>
    <row r="3" spans="1:22">
      <c r="S3" s="596" t="s">
        <v>24</v>
      </c>
    </row>
    <row r="6" spans="1:22">
      <c r="A6" s="702" t="s">
        <v>494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</row>
    <row r="7" spans="1:22">
      <c r="A7" s="702" t="s">
        <v>495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</row>
    <row r="8" spans="1:22">
      <c r="A8" s="702" t="s">
        <v>1188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</row>
    <row r="10" spans="1:22">
      <c r="A10" s="703" t="s">
        <v>727</v>
      </c>
      <c r="B10" s="703"/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Q10" s="703"/>
      <c r="R10" s="703"/>
      <c r="S10" s="703"/>
      <c r="T10" s="703"/>
      <c r="U10" s="703"/>
      <c r="V10" s="703"/>
    </row>
    <row r="12" spans="1:22">
      <c r="A12" s="705" t="s">
        <v>725</v>
      </c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</row>
    <row r="14" spans="1:22">
      <c r="A14" s="705" t="s">
        <v>34</v>
      </c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</row>
    <row r="15" spans="1:22">
      <c r="A15" s="704" t="s">
        <v>1190</v>
      </c>
      <c r="B15" s="704"/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</row>
    <row r="18" spans="1:22">
      <c r="A18" s="690" t="s">
        <v>0</v>
      </c>
      <c r="B18" s="690" t="s">
        <v>1</v>
      </c>
      <c r="C18" s="690" t="s">
        <v>2</v>
      </c>
      <c r="D18" s="690" t="s">
        <v>41</v>
      </c>
      <c r="E18" s="690" t="s">
        <v>1010</v>
      </c>
      <c r="F18" s="690" t="s">
        <v>733</v>
      </c>
      <c r="G18" s="690"/>
      <c r="H18" s="690" t="s">
        <v>732</v>
      </c>
      <c r="I18" s="690"/>
      <c r="J18" s="690"/>
      <c r="K18" s="690"/>
      <c r="L18" s="690"/>
      <c r="M18" s="690"/>
      <c r="N18" s="690"/>
      <c r="O18" s="690"/>
      <c r="P18" s="690"/>
      <c r="Q18" s="690"/>
      <c r="R18" s="690" t="s">
        <v>497</v>
      </c>
      <c r="S18" s="690"/>
      <c r="T18" s="690" t="s">
        <v>498</v>
      </c>
      <c r="U18" s="690"/>
      <c r="V18" s="690" t="s">
        <v>10</v>
      </c>
    </row>
    <row r="19" spans="1:22" ht="31.5" customHeight="1">
      <c r="A19" s="690"/>
      <c r="B19" s="690"/>
      <c r="C19" s="690"/>
      <c r="D19" s="690"/>
      <c r="E19" s="690"/>
      <c r="F19" s="690" t="s">
        <v>49</v>
      </c>
      <c r="G19" s="690" t="s">
        <v>50</v>
      </c>
      <c r="H19" s="690" t="s">
        <v>485</v>
      </c>
      <c r="I19" s="690"/>
      <c r="J19" s="690" t="s">
        <v>486</v>
      </c>
      <c r="K19" s="690"/>
      <c r="L19" s="690" t="s">
        <v>487</v>
      </c>
      <c r="M19" s="690"/>
      <c r="N19" s="690" t="s">
        <v>488</v>
      </c>
      <c r="O19" s="690"/>
      <c r="P19" s="690" t="s">
        <v>489</v>
      </c>
      <c r="Q19" s="690"/>
      <c r="R19" s="690" t="s">
        <v>49</v>
      </c>
      <c r="S19" s="690" t="s">
        <v>50</v>
      </c>
      <c r="T19" s="690"/>
      <c r="U19" s="690"/>
      <c r="V19" s="690"/>
    </row>
    <row r="20" spans="1:22" ht="31.5">
      <c r="A20" s="690"/>
      <c r="B20" s="690"/>
      <c r="C20" s="690"/>
      <c r="D20" s="690"/>
      <c r="E20" s="690"/>
      <c r="F20" s="690"/>
      <c r="G20" s="690"/>
      <c r="H20" s="555" t="s">
        <v>11</v>
      </c>
      <c r="I20" s="555" t="s">
        <v>12</v>
      </c>
      <c r="J20" s="555" t="s">
        <v>11</v>
      </c>
      <c r="K20" s="555" t="s">
        <v>12</v>
      </c>
      <c r="L20" s="555" t="s">
        <v>11</v>
      </c>
      <c r="M20" s="555" t="s">
        <v>12</v>
      </c>
      <c r="N20" s="555" t="s">
        <v>11</v>
      </c>
      <c r="O20" s="555" t="s">
        <v>12</v>
      </c>
      <c r="P20" s="555" t="s">
        <v>11</v>
      </c>
      <c r="Q20" s="555" t="s">
        <v>12</v>
      </c>
      <c r="R20" s="690"/>
      <c r="S20" s="690"/>
      <c r="T20" s="555" t="s">
        <v>48</v>
      </c>
      <c r="U20" s="555" t="s">
        <v>20</v>
      </c>
      <c r="V20" s="690"/>
    </row>
    <row r="21" spans="1:22">
      <c r="A21" s="550">
        <v>1</v>
      </c>
      <c r="B21" s="550">
        <v>2</v>
      </c>
      <c r="C21" s="550">
        <v>3</v>
      </c>
      <c r="D21" s="550">
        <v>4</v>
      </c>
      <c r="E21" s="550">
        <v>5</v>
      </c>
      <c r="F21" s="550">
        <v>6</v>
      </c>
      <c r="G21" s="550">
        <v>7</v>
      </c>
      <c r="H21" s="550">
        <v>8</v>
      </c>
      <c r="I21" s="550">
        <v>9</v>
      </c>
      <c r="J21" s="550">
        <v>10</v>
      </c>
      <c r="K21" s="550">
        <v>11</v>
      </c>
      <c r="L21" s="550">
        <v>12</v>
      </c>
      <c r="M21" s="550">
        <v>13</v>
      </c>
      <c r="N21" s="550">
        <v>14</v>
      </c>
      <c r="O21" s="550">
        <v>15</v>
      </c>
      <c r="P21" s="550">
        <v>16</v>
      </c>
      <c r="Q21" s="550">
        <v>17</v>
      </c>
      <c r="R21" s="550">
        <v>18</v>
      </c>
      <c r="S21" s="550">
        <v>19</v>
      </c>
      <c r="T21" s="550">
        <v>20</v>
      </c>
      <c r="U21" s="550">
        <v>21</v>
      </c>
      <c r="V21" s="550">
        <v>22</v>
      </c>
    </row>
    <row r="22" spans="1:22" s="572" customFormat="1" ht="31.5">
      <c r="A22" s="196">
        <v>0</v>
      </c>
      <c r="B22" s="575" t="s">
        <v>21</v>
      </c>
      <c r="C22" s="236" t="s">
        <v>876</v>
      </c>
      <c r="D22" s="536">
        <f>H22</f>
        <v>19.049248063559322</v>
      </c>
      <c r="E22" s="586">
        <f>SUM(E23:E28)</f>
        <v>14.06218897457628</v>
      </c>
      <c r="F22" s="536">
        <v>0</v>
      </c>
      <c r="G22" s="536">
        <f>H22</f>
        <v>19.049248063559322</v>
      </c>
      <c r="H22" s="536">
        <f>H23+H24+H25+H26+H27+H28</f>
        <v>19.049248063559322</v>
      </c>
      <c r="I22" s="523">
        <f t="shared" ref="I22:Q22" si="0">I23+I24+I25+I26+I27+I28</f>
        <v>18.548770494542374</v>
      </c>
      <c r="J22" s="523">
        <f t="shared" si="0"/>
        <v>3.9222083056324242</v>
      </c>
      <c r="K22" s="523">
        <f t="shared" si="0"/>
        <v>3.383571787966102</v>
      </c>
      <c r="L22" s="523">
        <f t="shared" si="0"/>
        <v>2.4982417711864411</v>
      </c>
      <c r="M22" s="523">
        <f t="shared" si="0"/>
        <v>4.3371586544067799</v>
      </c>
      <c r="N22" s="523">
        <f t="shared" si="0"/>
        <v>1.6459848154237289</v>
      </c>
      <c r="O22" s="523">
        <f t="shared" si="0"/>
        <v>2.10235350779661</v>
      </c>
      <c r="P22" s="523">
        <f t="shared" si="0"/>
        <v>4.5565203389830504</v>
      </c>
      <c r="Q22" s="523">
        <f t="shared" si="0"/>
        <v>5.3521698958983057</v>
      </c>
      <c r="R22" s="523">
        <f>F22</f>
        <v>0</v>
      </c>
      <c r="S22" s="523">
        <f>H22-I22</f>
        <v>0.5004775690169474</v>
      </c>
      <c r="T22" s="523">
        <f>H22-I22</f>
        <v>0.5004775690169474</v>
      </c>
      <c r="U22" s="568">
        <f>I22/H22*100</f>
        <v>97.372717456631023</v>
      </c>
      <c r="V22" s="569">
        <f>'10'!T22</f>
        <v>0</v>
      </c>
    </row>
    <row r="23" spans="1:22">
      <c r="A23" s="196" t="s">
        <v>877</v>
      </c>
      <c r="B23" s="575" t="s">
        <v>878</v>
      </c>
      <c r="C23" s="236" t="s">
        <v>876</v>
      </c>
      <c r="D23" s="536">
        <f t="shared" ref="D23:D86" si="1">H23</f>
        <v>4.0092400000000001</v>
      </c>
      <c r="E23" s="536">
        <v>0</v>
      </c>
      <c r="F23" s="536">
        <v>0</v>
      </c>
      <c r="G23" s="536">
        <f t="shared" ref="G23:G86" si="2">H23</f>
        <v>4.0092400000000001</v>
      </c>
      <c r="H23" s="536">
        <f>H29</f>
        <v>4.0092400000000001</v>
      </c>
      <c r="I23" s="523">
        <f t="shared" ref="I23:Q23" si="3">I29+I55+I58+I67</f>
        <v>3.8056149699999997</v>
      </c>
      <c r="J23" s="523">
        <f t="shared" si="3"/>
        <v>0</v>
      </c>
      <c r="K23" s="523">
        <f t="shared" si="3"/>
        <v>0.21281476000000002</v>
      </c>
      <c r="L23" s="523">
        <f t="shared" si="3"/>
        <v>0</v>
      </c>
      <c r="M23" s="523">
        <f t="shared" si="3"/>
        <v>2.07318129</v>
      </c>
      <c r="N23" s="523">
        <f t="shared" si="3"/>
        <v>0</v>
      </c>
      <c r="O23" s="523">
        <f t="shared" si="3"/>
        <v>0.73244394000000002</v>
      </c>
      <c r="P23" s="523">
        <f t="shared" si="3"/>
        <v>0</v>
      </c>
      <c r="Q23" s="523">
        <f t="shared" si="3"/>
        <v>0.78717498000000008</v>
      </c>
      <c r="R23" s="523">
        <f t="shared" ref="R23:R95" si="4">F23</f>
        <v>0</v>
      </c>
      <c r="S23" s="523">
        <f t="shared" ref="S23:S85" si="5">H23-I23</f>
        <v>0.20362503000000043</v>
      </c>
      <c r="T23" s="523">
        <f t="shared" ref="T23:T85" si="6">H23-I23</f>
        <v>0.20362503000000043</v>
      </c>
      <c r="U23" s="568">
        <f t="shared" ref="U23:U81" si="7">I23/H23*100</f>
        <v>94.921106493998849</v>
      </c>
      <c r="V23" s="592">
        <f>'10'!T23</f>
        <v>0</v>
      </c>
    </row>
    <row r="24" spans="1:22" ht="47.25">
      <c r="A24" s="196" t="s">
        <v>879</v>
      </c>
      <c r="B24" s="575" t="s">
        <v>880</v>
      </c>
      <c r="C24" s="236" t="s">
        <v>876</v>
      </c>
      <c r="D24" s="536">
        <f t="shared" si="1"/>
        <v>6.4691525423728802</v>
      </c>
      <c r="E24" s="523">
        <f>E70</f>
        <v>4.57558358474577</v>
      </c>
      <c r="F24" s="536">
        <v>0</v>
      </c>
      <c r="G24" s="536">
        <f t="shared" si="2"/>
        <v>6.4691525423728802</v>
      </c>
      <c r="H24" s="536">
        <f>H76</f>
        <v>6.4691525423728802</v>
      </c>
      <c r="I24" s="523">
        <f t="shared" ref="I24:Q24" si="8">I70</f>
        <v>6.1723000033559323</v>
      </c>
      <c r="J24" s="523">
        <f t="shared" si="8"/>
        <v>0.51718687088666104</v>
      </c>
      <c r="K24" s="523">
        <f t="shared" si="8"/>
        <v>0</v>
      </c>
      <c r="L24" s="523">
        <f t="shared" si="8"/>
        <v>0</v>
      </c>
      <c r="M24" s="523">
        <f t="shared" si="8"/>
        <v>0</v>
      </c>
      <c r="N24" s="523">
        <f t="shared" si="8"/>
        <v>0</v>
      </c>
      <c r="O24" s="523">
        <f t="shared" si="8"/>
        <v>0</v>
      </c>
      <c r="P24" s="523">
        <f t="shared" si="8"/>
        <v>3.5556728813559322</v>
      </c>
      <c r="Q24" s="523">
        <f t="shared" si="8"/>
        <v>3.7980457633559324</v>
      </c>
      <c r="R24" s="523">
        <f t="shared" si="4"/>
        <v>0</v>
      </c>
      <c r="S24" s="523">
        <f t="shared" si="5"/>
        <v>0.29685253901694786</v>
      </c>
      <c r="T24" s="523">
        <f t="shared" si="6"/>
        <v>0.29685253901694786</v>
      </c>
      <c r="U24" s="568">
        <f t="shared" si="7"/>
        <v>95.411260793858759</v>
      </c>
      <c r="V24" s="592">
        <f>'10'!T24</f>
        <v>0</v>
      </c>
    </row>
    <row r="25" spans="1:22" ht="110.25">
      <c r="A25" s="196" t="s">
        <v>881</v>
      </c>
      <c r="B25" s="575" t="s">
        <v>882</v>
      </c>
      <c r="C25" s="236" t="s">
        <v>876</v>
      </c>
      <c r="D25" s="536">
        <v>0</v>
      </c>
      <c r="E25" s="536">
        <v>0</v>
      </c>
      <c r="F25" s="536">
        <v>0</v>
      </c>
      <c r="G25" s="536">
        <v>0</v>
      </c>
      <c r="H25" s="536">
        <v>0</v>
      </c>
      <c r="I25" s="523">
        <f t="shared" ref="I25:Q25" si="9">I96</f>
        <v>0</v>
      </c>
      <c r="J25" s="523">
        <f t="shared" si="9"/>
        <v>0</v>
      </c>
      <c r="K25" s="523">
        <f t="shared" si="9"/>
        <v>0</v>
      </c>
      <c r="L25" s="523">
        <f t="shared" si="9"/>
        <v>0</v>
      </c>
      <c r="M25" s="523">
        <f t="shared" si="9"/>
        <v>0</v>
      </c>
      <c r="N25" s="523">
        <f t="shared" si="9"/>
        <v>0</v>
      </c>
      <c r="O25" s="523">
        <f t="shared" si="9"/>
        <v>0</v>
      </c>
      <c r="P25" s="523">
        <f t="shared" si="9"/>
        <v>0</v>
      </c>
      <c r="Q25" s="523">
        <f t="shared" si="9"/>
        <v>0</v>
      </c>
      <c r="R25" s="523">
        <f t="shared" si="4"/>
        <v>0</v>
      </c>
      <c r="S25" s="523">
        <f t="shared" si="5"/>
        <v>0</v>
      </c>
      <c r="T25" s="523">
        <f t="shared" si="6"/>
        <v>0</v>
      </c>
      <c r="U25" s="539" t="e">
        <f t="shared" si="7"/>
        <v>#DIV/0!</v>
      </c>
      <c r="V25" s="592">
        <f>'10'!T25</f>
        <v>0</v>
      </c>
    </row>
    <row r="26" spans="1:22" ht="31.5">
      <c r="A26" s="199" t="s">
        <v>883</v>
      </c>
      <c r="B26" s="509" t="s">
        <v>884</v>
      </c>
      <c r="C26" s="236" t="s">
        <v>876</v>
      </c>
      <c r="D26" s="536">
        <f t="shared" si="1"/>
        <v>0</v>
      </c>
      <c r="E26" s="523">
        <f>E99</f>
        <v>1.94279</v>
      </c>
      <c r="F26" s="536">
        <v>0</v>
      </c>
      <c r="G26" s="536">
        <f t="shared" si="2"/>
        <v>0</v>
      </c>
      <c r="H26" s="536">
        <v>0</v>
      </c>
      <c r="I26" s="523">
        <f t="shared" ref="I26:Q26" si="10">I99</f>
        <v>0</v>
      </c>
      <c r="J26" s="523">
        <f t="shared" si="10"/>
        <v>0</v>
      </c>
      <c r="K26" s="523">
        <f t="shared" si="10"/>
        <v>0</v>
      </c>
      <c r="L26" s="523">
        <f t="shared" si="10"/>
        <v>0</v>
      </c>
      <c r="M26" s="523">
        <f t="shared" si="10"/>
        <v>0</v>
      </c>
      <c r="N26" s="523">
        <f t="shared" si="10"/>
        <v>0</v>
      </c>
      <c r="O26" s="523">
        <f t="shared" si="10"/>
        <v>0</v>
      </c>
      <c r="P26" s="523">
        <f t="shared" si="10"/>
        <v>0</v>
      </c>
      <c r="Q26" s="523">
        <f t="shared" si="10"/>
        <v>0</v>
      </c>
      <c r="R26" s="523">
        <f t="shared" si="4"/>
        <v>0</v>
      </c>
      <c r="S26" s="523">
        <f t="shared" si="5"/>
        <v>0</v>
      </c>
      <c r="T26" s="523">
        <f t="shared" si="6"/>
        <v>0</v>
      </c>
      <c r="U26" s="539" t="e">
        <f t="shared" si="7"/>
        <v>#DIV/0!</v>
      </c>
      <c r="V26" s="592">
        <f>'10'!T26</f>
        <v>0</v>
      </c>
    </row>
    <row r="27" spans="1:22" ht="47.25">
      <c r="A27" s="199" t="s">
        <v>885</v>
      </c>
      <c r="B27" s="509" t="s">
        <v>886</v>
      </c>
      <c r="C27" s="236" t="s">
        <v>876</v>
      </c>
      <c r="D27" s="536">
        <f t="shared" si="1"/>
        <v>0</v>
      </c>
      <c r="E27" s="536">
        <v>0</v>
      </c>
      <c r="F27" s="536">
        <v>0</v>
      </c>
      <c r="G27" s="536">
        <f t="shared" si="2"/>
        <v>0</v>
      </c>
      <c r="H27" s="536">
        <v>0</v>
      </c>
      <c r="I27" s="523">
        <f t="shared" ref="I27:Q27" si="11">I102</f>
        <v>0</v>
      </c>
      <c r="J27" s="523">
        <f t="shared" si="11"/>
        <v>0</v>
      </c>
      <c r="K27" s="523">
        <f t="shared" si="11"/>
        <v>0</v>
      </c>
      <c r="L27" s="523">
        <f t="shared" si="11"/>
        <v>0</v>
      </c>
      <c r="M27" s="523">
        <f t="shared" si="11"/>
        <v>0</v>
      </c>
      <c r="N27" s="523">
        <f t="shared" si="11"/>
        <v>0</v>
      </c>
      <c r="O27" s="523">
        <f t="shared" si="11"/>
        <v>0</v>
      </c>
      <c r="P27" s="523">
        <f t="shared" si="11"/>
        <v>0</v>
      </c>
      <c r="Q27" s="523">
        <f t="shared" si="11"/>
        <v>0</v>
      </c>
      <c r="R27" s="523">
        <f t="shared" si="4"/>
        <v>0</v>
      </c>
      <c r="S27" s="523">
        <f t="shared" si="5"/>
        <v>0</v>
      </c>
      <c r="T27" s="523">
        <f t="shared" si="6"/>
        <v>0</v>
      </c>
      <c r="U27" s="539" t="e">
        <f t="shared" si="7"/>
        <v>#DIV/0!</v>
      </c>
      <c r="V27" s="592">
        <f>'10'!T27</f>
        <v>0</v>
      </c>
    </row>
    <row r="28" spans="1:22">
      <c r="A28" s="199" t="s">
        <v>887</v>
      </c>
      <c r="B28" s="509" t="s">
        <v>888</v>
      </c>
      <c r="C28" s="236" t="s">
        <v>876</v>
      </c>
      <c r="D28" s="536">
        <f t="shared" si="1"/>
        <v>8.5708555211864415</v>
      </c>
      <c r="E28" s="586">
        <f>E103</f>
        <v>7.5438153898305087</v>
      </c>
      <c r="F28" s="536">
        <v>0</v>
      </c>
      <c r="G28" s="536">
        <f t="shared" si="2"/>
        <v>8.5708555211864415</v>
      </c>
      <c r="H28" s="536">
        <f t="shared" ref="H28:Q28" si="12">H103</f>
        <v>8.5708555211864415</v>
      </c>
      <c r="I28" s="523">
        <f t="shared" si="12"/>
        <v>8.5708555211864415</v>
      </c>
      <c r="J28" s="523">
        <f t="shared" si="12"/>
        <v>3.405021434745763</v>
      </c>
      <c r="K28" s="523">
        <f t="shared" si="12"/>
        <v>3.1707570279661019</v>
      </c>
      <c r="L28" s="523">
        <f t="shared" si="12"/>
        <v>2.4982417711864411</v>
      </c>
      <c r="M28" s="523">
        <f t="shared" si="12"/>
        <v>2.26397736440678</v>
      </c>
      <c r="N28" s="523">
        <f t="shared" si="12"/>
        <v>1.6459848154237289</v>
      </c>
      <c r="O28" s="523">
        <f t="shared" si="12"/>
        <v>1.3699095677966102</v>
      </c>
      <c r="P28" s="523">
        <f t="shared" si="12"/>
        <v>1.0008474576271187</v>
      </c>
      <c r="Q28" s="523">
        <f t="shared" si="12"/>
        <v>0.76694915254237284</v>
      </c>
      <c r="R28" s="523">
        <f t="shared" si="4"/>
        <v>0</v>
      </c>
      <c r="S28" s="523">
        <f t="shared" si="5"/>
        <v>0</v>
      </c>
      <c r="T28" s="523">
        <f t="shared" si="6"/>
        <v>0</v>
      </c>
      <c r="U28" s="568">
        <f t="shared" si="7"/>
        <v>100</v>
      </c>
      <c r="V28" s="592">
        <f>'10'!T28</f>
        <v>0</v>
      </c>
    </row>
    <row r="29" spans="1:22" ht="47.25">
      <c r="A29" s="201" t="s">
        <v>743</v>
      </c>
      <c r="B29" s="509" t="s">
        <v>889</v>
      </c>
      <c r="C29" s="236" t="s">
        <v>876</v>
      </c>
      <c r="D29" s="536">
        <f t="shared" si="1"/>
        <v>4.0092400000000001</v>
      </c>
      <c r="E29" s="533">
        <v>0</v>
      </c>
      <c r="F29" s="536">
        <v>0</v>
      </c>
      <c r="G29" s="536">
        <f t="shared" si="2"/>
        <v>4.0092400000000001</v>
      </c>
      <c r="H29" s="536">
        <f>H30</f>
        <v>4.0092400000000001</v>
      </c>
      <c r="I29" s="523">
        <f t="shared" ref="I29:Q29" si="13">I30+I47+I54</f>
        <v>3.8056149699999997</v>
      </c>
      <c r="J29" s="523">
        <f t="shared" si="13"/>
        <v>0</v>
      </c>
      <c r="K29" s="523">
        <f t="shared" si="13"/>
        <v>0.21281476000000002</v>
      </c>
      <c r="L29" s="523">
        <f t="shared" si="13"/>
        <v>0</v>
      </c>
      <c r="M29" s="523">
        <f t="shared" si="13"/>
        <v>2.07318129</v>
      </c>
      <c r="N29" s="523">
        <f t="shared" si="13"/>
        <v>0</v>
      </c>
      <c r="O29" s="523">
        <f t="shared" si="13"/>
        <v>0.73244394000000002</v>
      </c>
      <c r="P29" s="523">
        <f t="shared" si="13"/>
        <v>0</v>
      </c>
      <c r="Q29" s="523">
        <f t="shared" si="13"/>
        <v>0.78717498000000008</v>
      </c>
      <c r="R29" s="523">
        <f t="shared" si="4"/>
        <v>0</v>
      </c>
      <c r="S29" s="523">
        <f t="shared" si="5"/>
        <v>0.20362503000000043</v>
      </c>
      <c r="T29" s="523">
        <f t="shared" si="6"/>
        <v>0.20362503000000043</v>
      </c>
      <c r="U29" s="568">
        <f t="shared" si="7"/>
        <v>94.921106493998849</v>
      </c>
      <c r="V29" s="592">
        <f>'10'!T29</f>
        <v>0</v>
      </c>
    </row>
    <row r="30" spans="1:22" ht="63">
      <c r="A30" s="199" t="s">
        <v>387</v>
      </c>
      <c r="B30" s="509" t="s">
        <v>890</v>
      </c>
      <c r="C30" s="236" t="s">
        <v>876</v>
      </c>
      <c r="D30" s="536">
        <f t="shared" si="1"/>
        <v>4.0092400000000001</v>
      </c>
      <c r="E30" s="533">
        <v>0</v>
      </c>
      <c r="F30" s="533">
        <v>0</v>
      </c>
      <c r="G30" s="536">
        <f t="shared" si="2"/>
        <v>4.0092400000000001</v>
      </c>
      <c r="H30" s="533">
        <f>H31</f>
        <v>4.0092400000000001</v>
      </c>
      <c r="I30" s="523">
        <f t="shared" ref="I30:Q30" si="14">I31</f>
        <v>2.0472896999999999</v>
      </c>
      <c r="J30" s="523">
        <f t="shared" si="14"/>
        <v>0</v>
      </c>
      <c r="K30" s="523">
        <f t="shared" si="14"/>
        <v>0</v>
      </c>
      <c r="L30" s="523">
        <f t="shared" si="14"/>
        <v>0</v>
      </c>
      <c r="M30" s="523">
        <f t="shared" si="14"/>
        <v>1.1971486</v>
      </c>
      <c r="N30" s="523">
        <f t="shared" si="14"/>
        <v>0</v>
      </c>
      <c r="O30" s="523">
        <f t="shared" si="14"/>
        <v>6.296612E-2</v>
      </c>
      <c r="P30" s="523">
        <f t="shared" si="14"/>
        <v>0</v>
      </c>
      <c r="Q30" s="523">
        <f t="shared" si="14"/>
        <v>0.78717498000000008</v>
      </c>
      <c r="R30" s="523">
        <f t="shared" si="4"/>
        <v>0</v>
      </c>
      <c r="S30" s="523">
        <f t="shared" si="5"/>
        <v>1.9619503000000003</v>
      </c>
      <c r="T30" s="523">
        <f t="shared" si="6"/>
        <v>1.9619503000000003</v>
      </c>
      <c r="U30" s="568">
        <f t="shared" si="7"/>
        <v>51.064284003950867</v>
      </c>
      <c r="V30" s="592">
        <f>'10'!T30</f>
        <v>0</v>
      </c>
    </row>
    <row r="31" spans="1:22" ht="141.75">
      <c r="A31" s="203" t="s">
        <v>389</v>
      </c>
      <c r="B31" s="510" t="s">
        <v>891</v>
      </c>
      <c r="C31" s="207" t="s">
        <v>892</v>
      </c>
      <c r="D31" s="536">
        <f t="shared" si="1"/>
        <v>4.0092400000000001</v>
      </c>
      <c r="E31" s="533">
        <v>0</v>
      </c>
      <c r="F31" s="532">
        <v>0</v>
      </c>
      <c r="G31" s="537">
        <f t="shared" si="2"/>
        <v>4.0092400000000001</v>
      </c>
      <c r="H31" s="535">
        <f>'10'!G31/1.18</f>
        <v>4.0092400000000001</v>
      </c>
      <c r="I31" s="522">
        <f t="shared" ref="I31:O31" si="15">SUM(I32:I46)</f>
        <v>2.0472896999999999</v>
      </c>
      <c r="J31" s="522">
        <f t="shared" si="15"/>
        <v>0</v>
      </c>
      <c r="K31" s="522">
        <f t="shared" si="15"/>
        <v>0</v>
      </c>
      <c r="L31" s="522">
        <f t="shared" si="15"/>
        <v>0</v>
      </c>
      <c r="M31" s="522">
        <f t="shared" si="15"/>
        <v>1.1971486</v>
      </c>
      <c r="N31" s="522">
        <f t="shared" si="15"/>
        <v>0</v>
      </c>
      <c r="O31" s="522">
        <f t="shared" si="15"/>
        <v>6.296612E-2</v>
      </c>
      <c r="P31" s="522">
        <f>'10'!O31/1.18</f>
        <v>0</v>
      </c>
      <c r="Q31" s="522">
        <f>SUM(Q32:Q46)</f>
        <v>0.78717498000000008</v>
      </c>
      <c r="R31" s="522">
        <f t="shared" si="4"/>
        <v>0</v>
      </c>
      <c r="S31" s="522">
        <f t="shared" si="5"/>
        <v>1.9619503000000003</v>
      </c>
      <c r="T31" s="522">
        <f t="shared" si="6"/>
        <v>1.9619503000000003</v>
      </c>
      <c r="U31" s="564">
        <f>I31/H31*100</f>
        <v>51.064284003950867</v>
      </c>
      <c r="V31" s="592">
        <f>'10'!T31</f>
        <v>0</v>
      </c>
    </row>
    <row r="32" spans="1:22" ht="63">
      <c r="A32" s="203" t="s">
        <v>1074</v>
      </c>
      <c r="B32" s="508" t="s">
        <v>1080</v>
      </c>
      <c r="C32" s="207" t="s">
        <v>876</v>
      </c>
      <c r="D32" s="536">
        <f t="shared" si="1"/>
        <v>0</v>
      </c>
      <c r="E32" s="533">
        <v>0</v>
      </c>
      <c r="F32" s="532">
        <v>0</v>
      </c>
      <c r="G32" s="537">
        <f t="shared" si="2"/>
        <v>0</v>
      </c>
      <c r="H32" s="522">
        <f t="shared" ref="H32:H46" si="16">J32+L32+N32+P32</f>
        <v>0</v>
      </c>
      <c r="I32" s="522">
        <f>K32+M32+O32+Q32</f>
        <v>5.3715279999999997E-2</v>
      </c>
      <c r="J32" s="522">
        <v>0</v>
      </c>
      <c r="K32" s="522">
        <f>'10'!J32/1.18</f>
        <v>0</v>
      </c>
      <c r="L32" s="522">
        <v>0</v>
      </c>
      <c r="M32" s="522">
        <f>53715.28/1000000</f>
        <v>5.3715279999999997E-2</v>
      </c>
      <c r="N32" s="522">
        <v>0</v>
      </c>
      <c r="O32" s="522">
        <v>0</v>
      </c>
      <c r="P32" s="522">
        <v>0</v>
      </c>
      <c r="Q32" s="522">
        <v>0</v>
      </c>
      <c r="R32" s="218">
        <f t="shared" si="4"/>
        <v>0</v>
      </c>
      <c r="S32" s="522">
        <f t="shared" si="5"/>
        <v>-5.3715279999999997E-2</v>
      </c>
      <c r="T32" s="522">
        <f t="shared" si="6"/>
        <v>-5.3715279999999997E-2</v>
      </c>
      <c r="U32" s="539" t="e">
        <f t="shared" si="7"/>
        <v>#DIV/0!</v>
      </c>
      <c r="V32" s="550" t="s">
        <v>1144</v>
      </c>
    </row>
    <row r="33" spans="1:22" ht="63">
      <c r="A33" s="203" t="s">
        <v>1075</v>
      </c>
      <c r="B33" s="508" t="s">
        <v>1081</v>
      </c>
      <c r="C33" s="207" t="s">
        <v>876</v>
      </c>
      <c r="D33" s="536">
        <f t="shared" si="1"/>
        <v>0</v>
      </c>
      <c r="E33" s="533">
        <v>0</v>
      </c>
      <c r="F33" s="532">
        <v>0</v>
      </c>
      <c r="G33" s="537">
        <f t="shared" si="2"/>
        <v>0</v>
      </c>
      <c r="H33" s="522">
        <f t="shared" si="16"/>
        <v>0</v>
      </c>
      <c r="I33" s="522">
        <f t="shared" ref="I33:I46" si="17">K33+M33+O33+Q33</f>
        <v>2.538325E-2</v>
      </c>
      <c r="J33" s="522">
        <v>0</v>
      </c>
      <c r="K33" s="522">
        <v>0</v>
      </c>
      <c r="L33" s="522">
        <v>0</v>
      </c>
      <c r="M33" s="522">
        <f>25383.25/1000000</f>
        <v>2.538325E-2</v>
      </c>
      <c r="N33" s="522">
        <v>0</v>
      </c>
      <c r="O33" s="522">
        <v>0</v>
      </c>
      <c r="P33" s="522">
        <v>0</v>
      </c>
      <c r="Q33" s="522">
        <v>0</v>
      </c>
      <c r="R33" s="218">
        <f t="shared" si="4"/>
        <v>0</v>
      </c>
      <c r="S33" s="522">
        <f t="shared" si="5"/>
        <v>-2.538325E-2</v>
      </c>
      <c r="T33" s="522">
        <f t="shared" si="6"/>
        <v>-2.538325E-2</v>
      </c>
      <c r="U33" s="539" t="e">
        <f t="shared" si="7"/>
        <v>#DIV/0!</v>
      </c>
      <c r="V33" s="550" t="str">
        <f>'10'!T33</f>
        <v>Строительство сетей для создания технической возможности ТП потребителей в соответствии с договорами на ТП</v>
      </c>
    </row>
    <row r="34" spans="1:22" ht="91.5" customHeight="1">
      <c r="A34" s="203" t="s">
        <v>1076</v>
      </c>
      <c r="B34" s="508" t="s">
        <v>1082</v>
      </c>
      <c r="C34" s="207" t="s">
        <v>876</v>
      </c>
      <c r="D34" s="536">
        <f t="shared" si="1"/>
        <v>0</v>
      </c>
      <c r="E34" s="533">
        <v>0</v>
      </c>
      <c r="F34" s="532">
        <v>0</v>
      </c>
      <c r="G34" s="537">
        <f t="shared" si="2"/>
        <v>0</v>
      </c>
      <c r="H34" s="522">
        <f t="shared" si="16"/>
        <v>0</v>
      </c>
      <c r="I34" s="522">
        <f t="shared" si="17"/>
        <v>0.11920007000000001</v>
      </c>
      <c r="J34" s="522">
        <v>0</v>
      </c>
      <c r="K34" s="522">
        <f>'10'!J34/1.18</f>
        <v>0</v>
      </c>
      <c r="L34" s="522">
        <v>0</v>
      </c>
      <c r="M34" s="522">
        <f>119200.07/1000000</f>
        <v>0.11920007000000001</v>
      </c>
      <c r="N34" s="522">
        <v>0</v>
      </c>
      <c r="O34" s="522">
        <v>0</v>
      </c>
      <c r="P34" s="522">
        <v>0</v>
      </c>
      <c r="Q34" s="522">
        <v>0</v>
      </c>
      <c r="R34" s="218">
        <f t="shared" si="4"/>
        <v>0</v>
      </c>
      <c r="S34" s="522">
        <f t="shared" si="5"/>
        <v>-0.11920007000000001</v>
      </c>
      <c r="T34" s="522">
        <f t="shared" si="6"/>
        <v>-0.11920007000000001</v>
      </c>
      <c r="U34" s="539" t="e">
        <f t="shared" si="7"/>
        <v>#DIV/0!</v>
      </c>
      <c r="V34" s="550" t="str">
        <f>'10'!T34</f>
        <v>Строительство сетей для создания технической возможности ТП потребителей в соответствии с договорами на ТП</v>
      </c>
    </row>
    <row r="35" spans="1:22" ht="63">
      <c r="A35" s="203" t="s">
        <v>1077</v>
      </c>
      <c r="B35" s="508" t="s">
        <v>1148</v>
      </c>
      <c r="C35" s="207" t="s">
        <v>876</v>
      </c>
      <c r="D35" s="536">
        <f t="shared" si="1"/>
        <v>0</v>
      </c>
      <c r="E35" s="533">
        <v>0</v>
      </c>
      <c r="F35" s="532">
        <v>0</v>
      </c>
      <c r="G35" s="537">
        <f t="shared" si="2"/>
        <v>0</v>
      </c>
      <c r="H35" s="522">
        <f t="shared" ref="H35:H37" si="18">J35+L35+N35+P35</f>
        <v>0</v>
      </c>
      <c r="I35" s="522">
        <f t="shared" si="17"/>
        <v>7.5863369999999999E-2</v>
      </c>
      <c r="J35" s="522">
        <v>0</v>
      </c>
      <c r="K35" s="522">
        <v>0</v>
      </c>
      <c r="L35" s="522">
        <v>0</v>
      </c>
      <c r="M35" s="522">
        <f>50847.46/1000000</f>
        <v>5.0847459999999997E-2</v>
      </c>
      <c r="N35" s="522">
        <v>0</v>
      </c>
      <c r="O35" s="522">
        <f>(5661.27+2770.28+16584.36)/1000000</f>
        <v>2.5015910000000002E-2</v>
      </c>
      <c r="P35" s="522">
        <v>0</v>
      </c>
      <c r="Q35" s="522">
        <v>0</v>
      </c>
      <c r="R35" s="218">
        <f t="shared" ref="R35:R37" si="19">F35</f>
        <v>0</v>
      </c>
      <c r="S35" s="522">
        <f t="shared" ref="S35:S37" si="20">H35-I35</f>
        <v>-7.5863369999999999E-2</v>
      </c>
      <c r="T35" s="522">
        <f t="shared" ref="T35:T37" si="21">H35-I35</f>
        <v>-7.5863369999999999E-2</v>
      </c>
      <c r="U35" s="539" t="e">
        <f t="shared" ref="U35:U37" si="22">I35/H35*100</f>
        <v>#DIV/0!</v>
      </c>
      <c r="V35" s="550" t="str">
        <f>'10'!T35</f>
        <v>Строительство сетей для создания технической возможности ТП потребителей в соответствии с договорами на ТП</v>
      </c>
    </row>
    <row r="36" spans="1:22" ht="63">
      <c r="A36" s="203" t="s">
        <v>1078</v>
      </c>
      <c r="B36" s="514" t="s">
        <v>1084</v>
      </c>
      <c r="C36" s="207" t="s">
        <v>876</v>
      </c>
      <c r="D36" s="536">
        <f t="shared" si="1"/>
        <v>0</v>
      </c>
      <c r="E36" s="533">
        <v>0</v>
      </c>
      <c r="F36" s="532">
        <v>0</v>
      </c>
      <c r="G36" s="537">
        <f t="shared" si="2"/>
        <v>0</v>
      </c>
      <c r="H36" s="522">
        <f t="shared" si="18"/>
        <v>0</v>
      </c>
      <c r="I36" s="522">
        <f t="shared" si="17"/>
        <v>0.94800254000000006</v>
      </c>
      <c r="J36" s="522">
        <v>0</v>
      </c>
      <c r="K36" s="522">
        <f>'10'!J35/1.18</f>
        <v>0</v>
      </c>
      <c r="L36" s="522">
        <v>0</v>
      </c>
      <c r="M36" s="522">
        <f>948002.54/1000000</f>
        <v>0.94800254000000006</v>
      </c>
      <c r="N36" s="522">
        <v>0</v>
      </c>
      <c r="O36" s="522">
        <v>0</v>
      </c>
      <c r="P36" s="522">
        <v>0</v>
      </c>
      <c r="Q36" s="522">
        <v>0</v>
      </c>
      <c r="R36" s="218">
        <f t="shared" si="19"/>
        <v>0</v>
      </c>
      <c r="S36" s="522">
        <f t="shared" si="20"/>
        <v>-0.94800254000000006</v>
      </c>
      <c r="T36" s="522">
        <f t="shared" si="21"/>
        <v>-0.94800254000000006</v>
      </c>
      <c r="U36" s="539" t="e">
        <f t="shared" si="22"/>
        <v>#DIV/0!</v>
      </c>
      <c r="V36" s="550" t="str">
        <f>'10'!T36</f>
        <v>Строительство сетей для создания технической возможности ТП потребителей в соответствии с договорами на ТП</v>
      </c>
    </row>
    <row r="37" spans="1:22" ht="63">
      <c r="A37" s="203" t="s">
        <v>1079</v>
      </c>
      <c r="B37" s="508" t="s">
        <v>1085</v>
      </c>
      <c r="C37" s="207" t="s">
        <v>876</v>
      </c>
      <c r="D37" s="536">
        <f t="shared" si="1"/>
        <v>0</v>
      </c>
      <c r="E37" s="533">
        <v>0</v>
      </c>
      <c r="F37" s="532">
        <v>0</v>
      </c>
      <c r="G37" s="537">
        <f t="shared" si="2"/>
        <v>0</v>
      </c>
      <c r="H37" s="522">
        <f t="shared" si="18"/>
        <v>0</v>
      </c>
      <c r="I37" s="522">
        <f t="shared" si="17"/>
        <v>0</v>
      </c>
      <c r="J37" s="522">
        <v>0</v>
      </c>
      <c r="K37" s="522">
        <f>'10'!J37/1.18</f>
        <v>0</v>
      </c>
      <c r="L37" s="522">
        <v>0</v>
      </c>
      <c r="M37" s="522">
        <v>0</v>
      </c>
      <c r="N37" s="522">
        <v>0</v>
      </c>
      <c r="O37" s="522">
        <v>0</v>
      </c>
      <c r="P37" s="522">
        <v>0</v>
      </c>
      <c r="Q37" s="522">
        <v>0</v>
      </c>
      <c r="R37" s="522">
        <f t="shared" si="19"/>
        <v>0</v>
      </c>
      <c r="S37" s="522">
        <f t="shared" si="20"/>
        <v>0</v>
      </c>
      <c r="T37" s="522">
        <f t="shared" si="21"/>
        <v>0</v>
      </c>
      <c r="U37" s="539" t="e">
        <f t="shared" si="22"/>
        <v>#DIV/0!</v>
      </c>
      <c r="V37" s="550" t="str">
        <f>'10'!T37</f>
        <v>Строительство сетей для создания технической возможности ТП потребителей в соответствии с договорами на ТП</v>
      </c>
    </row>
    <row r="38" spans="1:22" ht="63">
      <c r="A38" s="203" t="s">
        <v>1145</v>
      </c>
      <c r="B38" s="508" t="s">
        <v>1156</v>
      </c>
      <c r="C38" s="207" t="s">
        <v>876</v>
      </c>
      <c r="D38" s="536">
        <f t="shared" si="1"/>
        <v>0</v>
      </c>
      <c r="E38" s="533">
        <v>0</v>
      </c>
      <c r="F38" s="532">
        <v>0</v>
      </c>
      <c r="G38" s="537">
        <f t="shared" si="2"/>
        <v>0</v>
      </c>
      <c r="H38" s="522">
        <f t="shared" si="16"/>
        <v>0</v>
      </c>
      <c r="I38" s="522">
        <f t="shared" si="17"/>
        <v>3.7950209999999998E-2</v>
      </c>
      <c r="J38" s="522">
        <v>0</v>
      </c>
      <c r="K38" s="522">
        <v>0</v>
      </c>
      <c r="L38" s="522">
        <v>0</v>
      </c>
      <c r="M38" s="522">
        <v>0</v>
      </c>
      <c r="N38" s="522">
        <v>0</v>
      </c>
      <c r="O38" s="522">
        <f>(6842.57+5000+3997.28+22110.36)/1000000</f>
        <v>3.7950209999999998E-2</v>
      </c>
      <c r="P38" s="522">
        <v>0</v>
      </c>
      <c r="Q38" s="522">
        <v>0</v>
      </c>
      <c r="R38" s="218">
        <f t="shared" si="4"/>
        <v>0</v>
      </c>
      <c r="S38" s="522">
        <f t="shared" si="5"/>
        <v>-3.7950209999999998E-2</v>
      </c>
      <c r="T38" s="522">
        <f t="shared" si="6"/>
        <v>-3.7950209999999998E-2</v>
      </c>
      <c r="U38" s="539" t="e">
        <f t="shared" si="7"/>
        <v>#DIV/0!</v>
      </c>
      <c r="V38" s="550" t="str">
        <f>'10'!T38</f>
        <v>Строительство сетей для создания технической возможности ТП потребителей в соответствии с договорами на ТП</v>
      </c>
    </row>
    <row r="39" spans="1:22" ht="63">
      <c r="A39" s="203" t="s">
        <v>1146</v>
      </c>
      <c r="B39" s="508" t="s">
        <v>1155</v>
      </c>
      <c r="C39" s="207" t="s">
        <v>876</v>
      </c>
      <c r="D39" s="536">
        <f t="shared" si="1"/>
        <v>0</v>
      </c>
      <c r="E39" s="533">
        <v>0</v>
      </c>
      <c r="F39" s="532">
        <v>0</v>
      </c>
      <c r="G39" s="537">
        <f t="shared" si="2"/>
        <v>0</v>
      </c>
      <c r="H39" s="522">
        <f t="shared" si="16"/>
        <v>0</v>
      </c>
      <c r="I39" s="522">
        <f t="shared" si="17"/>
        <v>0.14508222000000001</v>
      </c>
      <c r="J39" s="522">
        <v>0</v>
      </c>
      <c r="K39" s="522">
        <f>'10'!J38/1.18</f>
        <v>0</v>
      </c>
      <c r="L39" s="522">
        <v>0</v>
      </c>
      <c r="M39" s="522">
        <v>0</v>
      </c>
      <c r="N39" s="522">
        <v>0</v>
      </c>
      <c r="O39" s="522">
        <v>0</v>
      </c>
      <c r="P39" s="522">
        <v>0</v>
      </c>
      <c r="Q39" s="522">
        <f>145082.22/1000000</f>
        <v>0.14508222000000001</v>
      </c>
      <c r="R39" s="218">
        <f t="shared" si="4"/>
        <v>0</v>
      </c>
      <c r="S39" s="522">
        <f t="shared" si="5"/>
        <v>-0.14508222000000001</v>
      </c>
      <c r="T39" s="522">
        <f t="shared" si="6"/>
        <v>-0.14508222000000001</v>
      </c>
      <c r="U39" s="539" t="e">
        <f t="shared" si="7"/>
        <v>#DIV/0!</v>
      </c>
      <c r="V39" s="550" t="str">
        <f>'10'!T39</f>
        <v>Строительство сетей для создания технической возможности ТП потребителей в соответствии с договорами на ТП</v>
      </c>
    </row>
    <row r="40" spans="1:22" ht="63">
      <c r="A40" s="123" t="s">
        <v>1147</v>
      </c>
      <c r="B40" s="508" t="s">
        <v>1154</v>
      </c>
      <c r="C40" s="121" t="s">
        <v>876</v>
      </c>
      <c r="D40" s="536">
        <f t="shared" si="1"/>
        <v>0</v>
      </c>
      <c r="E40" s="533">
        <v>0</v>
      </c>
      <c r="F40" s="532">
        <v>0</v>
      </c>
      <c r="G40" s="537">
        <f t="shared" si="2"/>
        <v>0</v>
      </c>
      <c r="H40" s="522">
        <f t="shared" ref="H40:H45" si="23">J40+L40+N40+P40</f>
        <v>0</v>
      </c>
      <c r="I40" s="522">
        <f t="shared" si="17"/>
        <v>0.17442367</v>
      </c>
      <c r="J40" s="522">
        <v>0</v>
      </c>
      <c r="K40" s="522">
        <f>'10'!J40/1.18</f>
        <v>0</v>
      </c>
      <c r="L40" s="522">
        <v>0</v>
      </c>
      <c r="M40" s="522">
        <v>0</v>
      </c>
      <c r="N40" s="522">
        <v>0</v>
      </c>
      <c r="O40" s="522">
        <v>0</v>
      </c>
      <c r="P40" s="522">
        <v>0</v>
      </c>
      <c r="Q40" s="522">
        <f>174423.67/1000000</f>
        <v>0.17442367</v>
      </c>
      <c r="R40" s="522">
        <f t="shared" ref="R40:R45" si="24">F40</f>
        <v>0</v>
      </c>
      <c r="S40" s="522">
        <f t="shared" ref="S40:S45" si="25">H40-I40</f>
        <v>-0.17442367</v>
      </c>
      <c r="T40" s="522">
        <f t="shared" ref="T40:T45" si="26">H40-I40</f>
        <v>-0.17442367</v>
      </c>
      <c r="U40" s="539" t="e">
        <f t="shared" ref="U40:U45" si="27">I40/H40*100</f>
        <v>#DIV/0!</v>
      </c>
      <c r="V40" s="550" t="str">
        <f>'10'!T40</f>
        <v>Строительство сетей для создания технической возможности ТП потребителей в соответствии с договорами на ТП</v>
      </c>
    </row>
    <row r="41" spans="1:22" ht="63">
      <c r="A41" s="123" t="s">
        <v>1158</v>
      </c>
      <c r="B41" s="508" t="s">
        <v>1159</v>
      </c>
      <c r="C41" s="121" t="s">
        <v>876</v>
      </c>
      <c r="D41" s="536">
        <f t="shared" si="1"/>
        <v>0</v>
      </c>
      <c r="E41" s="533">
        <v>0</v>
      </c>
      <c r="F41" s="532">
        <v>0</v>
      </c>
      <c r="G41" s="537">
        <f t="shared" si="2"/>
        <v>0</v>
      </c>
      <c r="H41" s="522">
        <f t="shared" si="23"/>
        <v>0</v>
      </c>
      <c r="I41" s="522">
        <f t="shared" si="17"/>
        <v>3.2067409999999998E-2</v>
      </c>
      <c r="J41" s="522">
        <v>0</v>
      </c>
      <c r="K41" s="522">
        <f>'10'!J41/1.18</f>
        <v>0</v>
      </c>
      <c r="L41" s="522">
        <v>0</v>
      </c>
      <c r="M41" s="522">
        <v>0</v>
      </c>
      <c r="N41" s="522">
        <v>0</v>
      </c>
      <c r="O41" s="522">
        <v>0</v>
      </c>
      <c r="P41" s="522">
        <v>0</v>
      </c>
      <c r="Q41" s="522">
        <f>32067.41/1000000</f>
        <v>3.2067409999999998E-2</v>
      </c>
      <c r="R41" s="522">
        <f t="shared" si="24"/>
        <v>0</v>
      </c>
      <c r="S41" s="522">
        <f t="shared" si="25"/>
        <v>-3.2067409999999998E-2</v>
      </c>
      <c r="T41" s="522">
        <f t="shared" si="26"/>
        <v>-3.2067409999999998E-2</v>
      </c>
      <c r="U41" s="539" t="e">
        <f t="shared" si="27"/>
        <v>#DIV/0!</v>
      </c>
      <c r="V41" s="550" t="str">
        <f>'10'!T41</f>
        <v>Строительство сетей для создания технической возможности ТП потребителей в соответствии с договорами на ТП</v>
      </c>
    </row>
    <row r="42" spans="1:22" ht="63">
      <c r="A42" s="123" t="s">
        <v>1171</v>
      </c>
      <c r="B42" s="508" t="s">
        <v>1160</v>
      </c>
      <c r="C42" s="121" t="s">
        <v>876</v>
      </c>
      <c r="D42" s="536">
        <f t="shared" si="1"/>
        <v>0</v>
      </c>
      <c r="E42" s="533">
        <v>0</v>
      </c>
      <c r="F42" s="532">
        <v>0</v>
      </c>
      <c r="G42" s="537">
        <f t="shared" si="2"/>
        <v>0</v>
      </c>
      <c r="H42" s="522">
        <f t="shared" ref="H42" si="28">J42+L42+N42+P42</f>
        <v>0</v>
      </c>
      <c r="I42" s="522">
        <f t="shared" si="17"/>
        <v>0.10034952</v>
      </c>
      <c r="J42" s="522">
        <v>0</v>
      </c>
      <c r="K42" s="522">
        <f>'10'!J42/1.18</f>
        <v>0</v>
      </c>
      <c r="L42" s="522">
        <v>0</v>
      </c>
      <c r="M42" s="522">
        <v>0</v>
      </c>
      <c r="N42" s="522">
        <v>0</v>
      </c>
      <c r="O42" s="522">
        <v>0</v>
      </c>
      <c r="P42" s="522">
        <v>0</v>
      </c>
      <c r="Q42" s="522">
        <f>100349.52/1000000</f>
        <v>0.10034952</v>
      </c>
      <c r="R42" s="522">
        <f t="shared" ref="R42" si="29">F42</f>
        <v>0</v>
      </c>
      <c r="S42" s="522">
        <f t="shared" ref="S42" si="30">H42-I42</f>
        <v>-0.10034952</v>
      </c>
      <c r="T42" s="522">
        <f t="shared" ref="T42" si="31">H42-I42</f>
        <v>-0.10034952</v>
      </c>
      <c r="U42" s="539" t="e">
        <f t="shared" ref="U42" si="32">I42/H42*100</f>
        <v>#DIV/0!</v>
      </c>
      <c r="V42" s="550" t="str">
        <f>'10'!T42</f>
        <v>Строительство сетей для создания технической возможности ТП потребителей в соответствии с договорами на ТП</v>
      </c>
    </row>
    <row r="43" spans="1:22" ht="63">
      <c r="A43" s="123" t="s">
        <v>1172</v>
      </c>
      <c r="B43" s="508" t="s">
        <v>1161</v>
      </c>
      <c r="C43" s="121" t="s">
        <v>876</v>
      </c>
      <c r="D43" s="536">
        <f t="shared" si="1"/>
        <v>0</v>
      </c>
      <c r="E43" s="533">
        <v>0</v>
      </c>
      <c r="F43" s="532">
        <v>0</v>
      </c>
      <c r="G43" s="537">
        <f t="shared" si="2"/>
        <v>0</v>
      </c>
      <c r="H43" s="522">
        <f t="shared" si="23"/>
        <v>0</v>
      </c>
      <c r="I43" s="522">
        <f t="shared" si="17"/>
        <v>3.6797059999999999E-2</v>
      </c>
      <c r="J43" s="522">
        <v>0</v>
      </c>
      <c r="K43" s="522">
        <f>'10'!J43/1.18</f>
        <v>0</v>
      </c>
      <c r="L43" s="522">
        <v>0</v>
      </c>
      <c r="M43" s="522">
        <v>0</v>
      </c>
      <c r="N43" s="522">
        <v>0</v>
      </c>
      <c r="O43" s="522">
        <v>0</v>
      </c>
      <c r="P43" s="522">
        <v>0</v>
      </c>
      <c r="Q43" s="522">
        <f>36797.06/1000000</f>
        <v>3.6797059999999999E-2</v>
      </c>
      <c r="R43" s="522">
        <f t="shared" si="24"/>
        <v>0</v>
      </c>
      <c r="S43" s="522">
        <f t="shared" si="25"/>
        <v>-3.6797059999999999E-2</v>
      </c>
      <c r="T43" s="522">
        <f t="shared" si="26"/>
        <v>-3.6797059999999999E-2</v>
      </c>
      <c r="U43" s="539" t="e">
        <f t="shared" si="27"/>
        <v>#DIV/0!</v>
      </c>
      <c r="V43" s="550" t="str">
        <f>'10'!T43</f>
        <v>Строительство сетей для создания технической возможности ТП потребителей в соответствии с договорами на ТП</v>
      </c>
    </row>
    <row r="44" spans="1:22" ht="63">
      <c r="A44" s="123" t="s">
        <v>1173</v>
      </c>
      <c r="B44" s="508" t="s">
        <v>1162</v>
      </c>
      <c r="C44" s="121" t="s">
        <v>876</v>
      </c>
      <c r="D44" s="536">
        <f t="shared" si="1"/>
        <v>0</v>
      </c>
      <c r="E44" s="533">
        <v>0</v>
      </c>
      <c r="F44" s="532">
        <v>0</v>
      </c>
      <c r="G44" s="537">
        <f t="shared" si="2"/>
        <v>0</v>
      </c>
      <c r="H44" s="522">
        <f t="shared" ref="H44" si="33">J44+L44+N44+P44</f>
        <v>0</v>
      </c>
      <c r="I44" s="522">
        <f t="shared" si="17"/>
        <v>0.20285773000000001</v>
      </c>
      <c r="J44" s="522">
        <v>0</v>
      </c>
      <c r="K44" s="522">
        <f>'10'!J44/1.18</f>
        <v>0</v>
      </c>
      <c r="L44" s="522">
        <v>0</v>
      </c>
      <c r="M44" s="522">
        <v>0</v>
      </c>
      <c r="N44" s="522">
        <v>0</v>
      </c>
      <c r="O44" s="522">
        <v>0</v>
      </c>
      <c r="P44" s="522">
        <v>0</v>
      </c>
      <c r="Q44" s="522">
        <f>202857.73/1000000</f>
        <v>0.20285773000000001</v>
      </c>
      <c r="R44" s="522">
        <f t="shared" ref="R44" si="34">F44</f>
        <v>0</v>
      </c>
      <c r="S44" s="522">
        <f t="shared" ref="S44" si="35">H44-I44</f>
        <v>-0.20285773000000001</v>
      </c>
      <c r="T44" s="522">
        <f t="shared" ref="T44" si="36">H44-I44</f>
        <v>-0.20285773000000001</v>
      </c>
      <c r="U44" s="539" t="e">
        <f t="shared" ref="U44" si="37">I44/H44*100</f>
        <v>#DIV/0!</v>
      </c>
      <c r="V44" s="550" t="str">
        <f>'10'!T44</f>
        <v>Строительство сетей для создания технической возможности ТП потребителей в соответствии с договорами на ТП</v>
      </c>
    </row>
    <row r="45" spans="1:22" ht="63">
      <c r="A45" s="123" t="s">
        <v>1174</v>
      </c>
      <c r="B45" s="508" t="s">
        <v>1163</v>
      </c>
      <c r="C45" s="121" t="s">
        <v>876</v>
      </c>
      <c r="D45" s="536">
        <f t="shared" si="1"/>
        <v>0</v>
      </c>
      <c r="E45" s="533">
        <v>0</v>
      </c>
      <c r="F45" s="532">
        <v>0</v>
      </c>
      <c r="G45" s="537">
        <f t="shared" si="2"/>
        <v>0</v>
      </c>
      <c r="H45" s="522">
        <f t="shared" si="23"/>
        <v>0</v>
      </c>
      <c r="I45" s="522">
        <f t="shared" si="17"/>
        <v>3.5597370000000003E-2</v>
      </c>
      <c r="J45" s="522">
        <v>0</v>
      </c>
      <c r="K45" s="522">
        <f>'10'!J45/1.18</f>
        <v>0</v>
      </c>
      <c r="L45" s="522">
        <v>0</v>
      </c>
      <c r="M45" s="522">
        <v>0</v>
      </c>
      <c r="N45" s="522">
        <v>0</v>
      </c>
      <c r="O45" s="522">
        <v>0</v>
      </c>
      <c r="P45" s="522">
        <v>0</v>
      </c>
      <c r="Q45" s="522">
        <f>35597.37/1000000</f>
        <v>3.5597370000000003E-2</v>
      </c>
      <c r="R45" s="522">
        <f t="shared" si="24"/>
        <v>0</v>
      </c>
      <c r="S45" s="522">
        <f t="shared" si="25"/>
        <v>-3.5597370000000003E-2</v>
      </c>
      <c r="T45" s="522">
        <f t="shared" si="26"/>
        <v>-3.5597370000000003E-2</v>
      </c>
      <c r="U45" s="539" t="e">
        <f t="shared" si="27"/>
        <v>#DIV/0!</v>
      </c>
      <c r="V45" s="550" t="str">
        <f>'10'!T45</f>
        <v>Строительство сетей для создания технической возможности ТП потребителей в соответствии с договорами на ТП</v>
      </c>
    </row>
    <row r="46" spans="1:22" ht="63">
      <c r="A46" s="123" t="s">
        <v>1175</v>
      </c>
      <c r="B46" s="508" t="s">
        <v>1164</v>
      </c>
      <c r="C46" s="121" t="s">
        <v>876</v>
      </c>
      <c r="D46" s="536">
        <f t="shared" si="1"/>
        <v>0</v>
      </c>
      <c r="E46" s="533">
        <v>0</v>
      </c>
      <c r="F46" s="532">
        <v>0</v>
      </c>
      <c r="G46" s="537">
        <f t="shared" si="2"/>
        <v>0</v>
      </c>
      <c r="H46" s="522">
        <f t="shared" si="16"/>
        <v>0</v>
      </c>
      <c r="I46" s="522">
        <f t="shared" si="17"/>
        <v>0.06</v>
      </c>
      <c r="J46" s="522">
        <v>0</v>
      </c>
      <c r="K46" s="522">
        <f>'10'!J46/1.18</f>
        <v>0</v>
      </c>
      <c r="L46" s="522">
        <v>0</v>
      </c>
      <c r="M46" s="522">
        <v>0</v>
      </c>
      <c r="N46" s="522">
        <v>0</v>
      </c>
      <c r="O46" s="522">
        <v>0</v>
      </c>
      <c r="P46" s="522">
        <v>0</v>
      </c>
      <c r="Q46" s="522">
        <f>60000/1000000</f>
        <v>0.06</v>
      </c>
      <c r="R46" s="522">
        <f t="shared" si="4"/>
        <v>0</v>
      </c>
      <c r="S46" s="522">
        <f t="shared" si="5"/>
        <v>-0.06</v>
      </c>
      <c r="T46" s="522">
        <f t="shared" si="6"/>
        <v>-0.06</v>
      </c>
      <c r="U46" s="539" t="e">
        <f t="shared" si="7"/>
        <v>#DIV/0!</v>
      </c>
      <c r="V46" s="550" t="str">
        <f>'10'!T46</f>
        <v>Строительство сетей для создания технической возможности ТП потребителей в соответствии с договорами на ТП</v>
      </c>
    </row>
    <row r="47" spans="1:22" s="572" customFormat="1" ht="78.75">
      <c r="A47" s="199" t="s">
        <v>392</v>
      </c>
      <c r="B47" s="509" t="s">
        <v>893</v>
      </c>
      <c r="C47" s="236" t="s">
        <v>876</v>
      </c>
      <c r="D47" s="536">
        <f t="shared" si="1"/>
        <v>0</v>
      </c>
      <c r="E47" s="533">
        <v>0</v>
      </c>
      <c r="F47" s="533">
        <v>0</v>
      </c>
      <c r="G47" s="536">
        <f t="shared" si="2"/>
        <v>0</v>
      </c>
      <c r="H47" s="533">
        <f>SUM(H48:H53)</f>
        <v>0</v>
      </c>
      <c r="I47" s="533">
        <f>SUM(I48:I53)</f>
        <v>1.7583252699999998</v>
      </c>
      <c r="J47" s="533">
        <f t="shared" ref="J47:Q47" si="38">SUM(J48:J53)</f>
        <v>0</v>
      </c>
      <c r="K47" s="533">
        <f t="shared" si="38"/>
        <v>0.21281476000000002</v>
      </c>
      <c r="L47" s="533">
        <f t="shared" si="38"/>
        <v>0</v>
      </c>
      <c r="M47" s="533">
        <f>SUM(M48:M53)</f>
        <v>0.87603268999999995</v>
      </c>
      <c r="N47" s="533">
        <f t="shared" si="38"/>
        <v>0</v>
      </c>
      <c r="O47" s="533">
        <f t="shared" si="38"/>
        <v>0.66947782</v>
      </c>
      <c r="P47" s="533">
        <f t="shared" si="38"/>
        <v>0</v>
      </c>
      <c r="Q47" s="533">
        <f t="shared" si="38"/>
        <v>0</v>
      </c>
      <c r="R47" s="523">
        <f t="shared" si="4"/>
        <v>0</v>
      </c>
      <c r="S47" s="523">
        <f t="shared" si="5"/>
        <v>-1.7583252699999998</v>
      </c>
      <c r="T47" s="523">
        <f t="shared" si="6"/>
        <v>-1.7583252699999998</v>
      </c>
      <c r="U47" s="539" t="e">
        <f t="shared" si="7"/>
        <v>#DIV/0!</v>
      </c>
      <c r="V47" s="592">
        <f>'10'!T47</f>
        <v>0</v>
      </c>
    </row>
    <row r="48" spans="1:22" ht="63">
      <c r="A48" s="203" t="s">
        <v>1094</v>
      </c>
      <c r="B48" s="129" t="s">
        <v>1095</v>
      </c>
      <c r="C48" s="563" t="s">
        <v>876</v>
      </c>
      <c r="D48" s="536">
        <f t="shared" si="1"/>
        <v>0</v>
      </c>
      <c r="E48" s="533">
        <v>0</v>
      </c>
      <c r="F48" s="532">
        <v>0</v>
      </c>
      <c r="G48" s="537">
        <f t="shared" si="2"/>
        <v>0</v>
      </c>
      <c r="H48" s="522">
        <f t="shared" ref="H48" si="39">J48+L48+N48+P48</f>
        <v>0</v>
      </c>
      <c r="I48" s="522">
        <f>K48+M48+O48+Q48</f>
        <v>0.17795564000000003</v>
      </c>
      <c r="J48" s="522">
        <v>0</v>
      </c>
      <c r="K48" s="522">
        <f>177955.64/1000000</f>
        <v>0.17795564000000003</v>
      </c>
      <c r="L48" s="522">
        <v>0</v>
      </c>
      <c r="M48" s="522">
        <v>0</v>
      </c>
      <c r="N48" s="522">
        <v>0</v>
      </c>
      <c r="O48" s="522">
        <v>0</v>
      </c>
      <c r="P48" s="522">
        <v>0</v>
      </c>
      <c r="Q48" s="522">
        <v>0</v>
      </c>
      <c r="R48" s="522">
        <f t="shared" si="4"/>
        <v>0</v>
      </c>
      <c r="S48" s="522">
        <f t="shared" si="5"/>
        <v>-0.17795564000000003</v>
      </c>
      <c r="T48" s="522">
        <f t="shared" si="6"/>
        <v>-0.17795564000000003</v>
      </c>
      <c r="U48" s="539" t="e">
        <f t="shared" si="7"/>
        <v>#DIV/0!</v>
      </c>
      <c r="V48" s="550" t="str">
        <f>'10'!T48</f>
        <v>Строительство сетей для создания технической возможности ТП потребителей в соответствии с договорами на ТП</v>
      </c>
    </row>
    <row r="49" spans="1:22" ht="63">
      <c r="A49" s="203" t="s">
        <v>1096</v>
      </c>
      <c r="B49" s="129" t="s">
        <v>1103</v>
      </c>
      <c r="C49" s="563" t="s">
        <v>876</v>
      </c>
      <c r="D49" s="536">
        <f t="shared" si="1"/>
        <v>0</v>
      </c>
      <c r="E49" s="533">
        <v>0</v>
      </c>
      <c r="F49" s="532">
        <v>0</v>
      </c>
      <c r="G49" s="537">
        <f t="shared" si="2"/>
        <v>0</v>
      </c>
      <c r="H49" s="532">
        <v>0</v>
      </c>
      <c r="I49" s="522">
        <f t="shared" ref="I49:I53" si="40">K49+M49+O49+Q49</f>
        <v>3.485912E-2</v>
      </c>
      <c r="J49" s="522">
        <v>0</v>
      </c>
      <c r="K49" s="522">
        <f>34859.12/1000000</f>
        <v>3.485912E-2</v>
      </c>
      <c r="L49" s="522">
        <v>0</v>
      </c>
      <c r="M49" s="522">
        <v>0</v>
      </c>
      <c r="N49" s="522">
        <v>0</v>
      </c>
      <c r="O49" s="522">
        <v>0</v>
      </c>
      <c r="P49" s="522">
        <v>0</v>
      </c>
      <c r="Q49" s="522">
        <v>0</v>
      </c>
      <c r="R49" s="522">
        <v>0</v>
      </c>
      <c r="S49" s="522">
        <f t="shared" si="5"/>
        <v>-3.485912E-2</v>
      </c>
      <c r="T49" s="522">
        <f t="shared" si="6"/>
        <v>-3.485912E-2</v>
      </c>
      <c r="U49" s="539" t="e">
        <f t="shared" si="7"/>
        <v>#DIV/0!</v>
      </c>
      <c r="V49" s="550" t="str">
        <f>'10'!T49</f>
        <v>Строительство сетей для создания технической возможности ТП потребителей в соответствии с договорами на ТП</v>
      </c>
    </row>
    <row r="50" spans="1:22" ht="63">
      <c r="A50" s="203" t="s">
        <v>1097</v>
      </c>
      <c r="B50" s="129" t="s">
        <v>1149</v>
      </c>
      <c r="C50" s="563" t="s">
        <v>876</v>
      </c>
      <c r="D50" s="536">
        <f t="shared" si="1"/>
        <v>0</v>
      </c>
      <c r="E50" s="533">
        <v>0</v>
      </c>
      <c r="F50" s="532">
        <v>0</v>
      </c>
      <c r="G50" s="537">
        <f t="shared" si="2"/>
        <v>0</v>
      </c>
      <c r="H50" s="532">
        <v>0</v>
      </c>
      <c r="I50" s="522">
        <f t="shared" si="40"/>
        <v>0.12901647999999999</v>
      </c>
      <c r="J50" s="522">
        <v>0</v>
      </c>
      <c r="K50" s="522">
        <v>0</v>
      </c>
      <c r="L50" s="522">
        <v>0</v>
      </c>
      <c r="M50" s="522">
        <v>0</v>
      </c>
      <c r="N50" s="522">
        <v>0</v>
      </c>
      <c r="O50" s="522">
        <f>129016.48/1000000</f>
        <v>0.12901647999999999</v>
      </c>
      <c r="P50" s="522">
        <v>0</v>
      </c>
      <c r="Q50" s="522">
        <v>0</v>
      </c>
      <c r="R50" s="522">
        <v>0</v>
      </c>
      <c r="S50" s="522">
        <f t="shared" si="5"/>
        <v>-0.12901647999999999</v>
      </c>
      <c r="T50" s="522">
        <f t="shared" si="6"/>
        <v>-0.12901647999999999</v>
      </c>
      <c r="U50" s="539" t="e">
        <f t="shared" si="7"/>
        <v>#DIV/0!</v>
      </c>
      <c r="V50" s="550" t="str">
        <f>'10'!T50</f>
        <v>Строительство сетей для создания технической возможности ТП потребителей в соответствии с договорами на ТП</v>
      </c>
    </row>
    <row r="51" spans="1:22" ht="63">
      <c r="A51" s="203" t="s">
        <v>1098</v>
      </c>
      <c r="B51" s="129" t="s">
        <v>1151</v>
      </c>
      <c r="C51" s="563" t="s">
        <v>876</v>
      </c>
      <c r="D51" s="536">
        <f t="shared" si="1"/>
        <v>0</v>
      </c>
      <c r="E51" s="533">
        <v>0</v>
      </c>
      <c r="F51" s="532">
        <v>0</v>
      </c>
      <c r="G51" s="537">
        <f t="shared" si="2"/>
        <v>0</v>
      </c>
      <c r="H51" s="532">
        <v>0</v>
      </c>
      <c r="I51" s="522">
        <f t="shared" si="40"/>
        <v>0.32547296999999997</v>
      </c>
      <c r="J51" s="522">
        <v>0</v>
      </c>
      <c r="K51" s="522">
        <v>0</v>
      </c>
      <c r="L51" s="522">
        <v>0</v>
      </c>
      <c r="M51" s="522">
        <v>0</v>
      </c>
      <c r="N51" s="522">
        <v>0</v>
      </c>
      <c r="O51" s="522">
        <f>325472.97/1000000</f>
        <v>0.32547296999999997</v>
      </c>
      <c r="P51" s="522">
        <v>0</v>
      </c>
      <c r="Q51" s="522">
        <v>0</v>
      </c>
      <c r="R51" s="522">
        <v>0</v>
      </c>
      <c r="S51" s="522">
        <f t="shared" si="5"/>
        <v>-0.32547296999999997</v>
      </c>
      <c r="T51" s="522">
        <f t="shared" si="6"/>
        <v>-0.32547296999999997</v>
      </c>
      <c r="U51" s="539" t="e">
        <f t="shared" si="7"/>
        <v>#DIV/0!</v>
      </c>
      <c r="V51" s="550" t="str">
        <f>'10'!T51</f>
        <v>Строительство сетей для создания технической возможности ТП потребителей в соответствии с договорами на ТП</v>
      </c>
    </row>
    <row r="52" spans="1:22" ht="63">
      <c r="A52" s="203" t="s">
        <v>1099</v>
      </c>
      <c r="B52" s="129" t="s">
        <v>1150</v>
      </c>
      <c r="C52" s="563" t="s">
        <v>876</v>
      </c>
      <c r="D52" s="536">
        <f t="shared" si="1"/>
        <v>0</v>
      </c>
      <c r="E52" s="533">
        <v>0</v>
      </c>
      <c r="F52" s="532">
        <v>0</v>
      </c>
      <c r="G52" s="537">
        <f t="shared" si="2"/>
        <v>0</v>
      </c>
      <c r="H52" s="532">
        <v>0</v>
      </c>
      <c r="I52" s="522">
        <f t="shared" ref="I52" si="41">K52+M52+O52+Q52</f>
        <v>0.21498836999999998</v>
      </c>
      <c r="J52" s="522">
        <v>0</v>
      </c>
      <c r="K52" s="522">
        <v>0</v>
      </c>
      <c r="L52" s="522">
        <v>0</v>
      </c>
      <c r="M52" s="522">
        <v>0</v>
      </c>
      <c r="N52" s="522">
        <v>0</v>
      </c>
      <c r="O52" s="522">
        <f>214988.37/1000000</f>
        <v>0.21498836999999998</v>
      </c>
      <c r="P52" s="522">
        <v>0</v>
      </c>
      <c r="Q52" s="522">
        <v>0</v>
      </c>
      <c r="R52" s="522">
        <v>0</v>
      </c>
      <c r="S52" s="522">
        <f t="shared" ref="S52" si="42">H52-I52</f>
        <v>-0.21498836999999998</v>
      </c>
      <c r="T52" s="522">
        <f t="shared" ref="T52" si="43">H52-I52</f>
        <v>-0.21498836999999998</v>
      </c>
      <c r="U52" s="539" t="e">
        <f t="shared" ref="U52" si="44">I52/H52*100</f>
        <v>#DIV/0!</v>
      </c>
      <c r="V52" s="550" t="str">
        <f>'10'!T52</f>
        <v>Строительство сетей для создания технической возможности ТП потребителей в соответствии с договорами на ТП</v>
      </c>
    </row>
    <row r="53" spans="1:22" ht="66" customHeight="1">
      <c r="A53" s="203" t="s">
        <v>1152</v>
      </c>
      <c r="B53" s="129" t="s">
        <v>1153</v>
      </c>
      <c r="C53" s="563" t="s">
        <v>876</v>
      </c>
      <c r="D53" s="536">
        <f t="shared" si="1"/>
        <v>0</v>
      </c>
      <c r="E53" s="533">
        <v>0</v>
      </c>
      <c r="F53" s="532">
        <v>0</v>
      </c>
      <c r="G53" s="537">
        <f t="shared" si="2"/>
        <v>0</v>
      </c>
      <c r="H53" s="532">
        <v>0</v>
      </c>
      <c r="I53" s="522">
        <f t="shared" si="40"/>
        <v>0.87603268999999995</v>
      </c>
      <c r="J53" s="522">
        <v>0</v>
      </c>
      <c r="K53" s="522">
        <v>0</v>
      </c>
      <c r="L53" s="522">
        <v>0</v>
      </c>
      <c r="M53" s="522">
        <f>876032.69/1000000</f>
        <v>0.87603268999999995</v>
      </c>
      <c r="N53" s="522">
        <v>0</v>
      </c>
      <c r="O53" s="522">
        <v>0</v>
      </c>
      <c r="P53" s="522">
        <v>0</v>
      </c>
      <c r="Q53" s="522">
        <v>0</v>
      </c>
      <c r="R53" s="522">
        <v>0</v>
      </c>
      <c r="S53" s="522">
        <f t="shared" si="5"/>
        <v>-0.87603268999999995</v>
      </c>
      <c r="T53" s="522">
        <f t="shared" si="6"/>
        <v>-0.87603268999999995</v>
      </c>
      <c r="U53" s="539" t="e">
        <f t="shared" si="7"/>
        <v>#DIV/0!</v>
      </c>
      <c r="V53" s="550" t="str">
        <f>'10'!T53</f>
        <v>Строительство сетей для создания технической возможности ТП потребителей в соответствии с договорами на ТП</v>
      </c>
    </row>
    <row r="54" spans="1:22" ht="63">
      <c r="A54" s="199" t="s">
        <v>394</v>
      </c>
      <c r="B54" s="509" t="s">
        <v>894</v>
      </c>
      <c r="C54" s="236" t="s">
        <v>876</v>
      </c>
      <c r="D54" s="536">
        <f t="shared" si="1"/>
        <v>0</v>
      </c>
      <c r="E54" s="533">
        <v>0</v>
      </c>
      <c r="F54" s="533">
        <v>0</v>
      </c>
      <c r="G54" s="533">
        <v>0</v>
      </c>
      <c r="H54" s="533">
        <v>0</v>
      </c>
      <c r="I54" s="523">
        <v>0</v>
      </c>
      <c r="J54" s="523">
        <v>0</v>
      </c>
      <c r="K54" s="523">
        <v>0</v>
      </c>
      <c r="L54" s="523">
        <v>0</v>
      </c>
      <c r="M54" s="523">
        <v>0</v>
      </c>
      <c r="N54" s="523">
        <v>0</v>
      </c>
      <c r="O54" s="523">
        <v>0</v>
      </c>
      <c r="P54" s="523">
        <v>0</v>
      </c>
      <c r="Q54" s="523">
        <v>0</v>
      </c>
      <c r="R54" s="523">
        <f t="shared" si="4"/>
        <v>0</v>
      </c>
      <c r="S54" s="523">
        <f t="shared" si="5"/>
        <v>0</v>
      </c>
      <c r="T54" s="523">
        <f t="shared" si="6"/>
        <v>0</v>
      </c>
      <c r="U54" s="573" t="e">
        <f t="shared" si="7"/>
        <v>#DIV/0!</v>
      </c>
      <c r="V54" s="550"/>
    </row>
    <row r="55" spans="1:22" ht="47.25">
      <c r="A55" s="201" t="s">
        <v>744</v>
      </c>
      <c r="B55" s="509" t="s">
        <v>895</v>
      </c>
      <c r="C55" s="236" t="s">
        <v>876</v>
      </c>
      <c r="D55" s="536">
        <f t="shared" si="1"/>
        <v>0</v>
      </c>
      <c r="E55" s="533">
        <v>0</v>
      </c>
      <c r="F55" s="533">
        <v>0</v>
      </c>
      <c r="G55" s="533">
        <v>0</v>
      </c>
      <c r="H55" s="533">
        <v>0</v>
      </c>
      <c r="I55" s="523">
        <f t="shared" ref="I55:Q55" si="45">I56+I57</f>
        <v>0</v>
      </c>
      <c r="J55" s="523">
        <f t="shared" si="45"/>
        <v>0</v>
      </c>
      <c r="K55" s="523">
        <f t="shared" si="45"/>
        <v>0</v>
      </c>
      <c r="L55" s="523">
        <f t="shared" si="45"/>
        <v>0</v>
      </c>
      <c r="M55" s="523">
        <f t="shared" si="45"/>
        <v>0</v>
      </c>
      <c r="N55" s="523">
        <f t="shared" si="45"/>
        <v>0</v>
      </c>
      <c r="O55" s="523">
        <f t="shared" si="45"/>
        <v>0</v>
      </c>
      <c r="P55" s="523">
        <f t="shared" si="45"/>
        <v>0</v>
      </c>
      <c r="Q55" s="523">
        <f t="shared" si="45"/>
        <v>0</v>
      </c>
      <c r="R55" s="523">
        <f t="shared" si="4"/>
        <v>0</v>
      </c>
      <c r="S55" s="523">
        <f t="shared" si="5"/>
        <v>0</v>
      </c>
      <c r="T55" s="523">
        <f t="shared" si="6"/>
        <v>0</v>
      </c>
      <c r="U55" s="573" t="e">
        <f t="shared" si="7"/>
        <v>#DIV/0!</v>
      </c>
      <c r="V55" s="592" t="e">
        <f>'10'!#REF!</f>
        <v>#REF!</v>
      </c>
    </row>
    <row r="56" spans="1:22" ht="78.75">
      <c r="A56" s="199" t="s">
        <v>415</v>
      </c>
      <c r="B56" s="509" t="s">
        <v>896</v>
      </c>
      <c r="C56" s="236" t="s">
        <v>876</v>
      </c>
      <c r="D56" s="536">
        <f t="shared" si="1"/>
        <v>0</v>
      </c>
      <c r="E56" s="533">
        <v>0</v>
      </c>
      <c r="F56" s="533">
        <v>0</v>
      </c>
      <c r="G56" s="533">
        <v>0</v>
      </c>
      <c r="H56" s="533">
        <v>0</v>
      </c>
      <c r="I56" s="523">
        <v>0</v>
      </c>
      <c r="J56" s="523">
        <v>0</v>
      </c>
      <c r="K56" s="523">
        <v>0</v>
      </c>
      <c r="L56" s="523">
        <v>0</v>
      </c>
      <c r="M56" s="523">
        <v>0</v>
      </c>
      <c r="N56" s="523">
        <v>0</v>
      </c>
      <c r="O56" s="523">
        <v>0</v>
      </c>
      <c r="P56" s="523">
        <v>0</v>
      </c>
      <c r="Q56" s="523">
        <v>0</v>
      </c>
      <c r="R56" s="523">
        <f t="shared" si="4"/>
        <v>0</v>
      </c>
      <c r="S56" s="523">
        <f t="shared" si="5"/>
        <v>0</v>
      </c>
      <c r="T56" s="523">
        <f t="shared" si="6"/>
        <v>0</v>
      </c>
      <c r="U56" s="573" t="e">
        <f t="shared" si="7"/>
        <v>#DIV/0!</v>
      </c>
      <c r="V56" s="592" t="e">
        <f>'10'!#REF!</f>
        <v>#REF!</v>
      </c>
    </row>
    <row r="57" spans="1:22" ht="47.25">
      <c r="A57" s="199" t="s">
        <v>416</v>
      </c>
      <c r="B57" s="509" t="s">
        <v>897</v>
      </c>
      <c r="C57" s="236" t="s">
        <v>876</v>
      </c>
      <c r="D57" s="536">
        <f t="shared" si="1"/>
        <v>0</v>
      </c>
      <c r="E57" s="533">
        <v>0</v>
      </c>
      <c r="F57" s="533">
        <v>0</v>
      </c>
      <c r="G57" s="533">
        <v>0</v>
      </c>
      <c r="H57" s="533">
        <v>0</v>
      </c>
      <c r="I57" s="523">
        <v>0</v>
      </c>
      <c r="J57" s="523">
        <v>0</v>
      </c>
      <c r="K57" s="523">
        <v>0</v>
      </c>
      <c r="L57" s="523">
        <v>0</v>
      </c>
      <c r="M57" s="523">
        <v>0</v>
      </c>
      <c r="N57" s="523">
        <v>0</v>
      </c>
      <c r="O57" s="523">
        <v>0</v>
      </c>
      <c r="P57" s="523">
        <v>0</v>
      </c>
      <c r="Q57" s="523">
        <v>0</v>
      </c>
      <c r="R57" s="523">
        <f t="shared" si="4"/>
        <v>0</v>
      </c>
      <c r="S57" s="523">
        <f t="shared" si="5"/>
        <v>0</v>
      </c>
      <c r="T57" s="523">
        <f t="shared" si="6"/>
        <v>0</v>
      </c>
      <c r="U57" s="573" t="e">
        <f t="shared" si="7"/>
        <v>#DIV/0!</v>
      </c>
      <c r="V57" s="592" t="e">
        <f>'10'!#REF!</f>
        <v>#REF!</v>
      </c>
    </row>
    <row r="58" spans="1:22" ht="63">
      <c r="A58" s="201" t="s">
        <v>745</v>
      </c>
      <c r="B58" s="509" t="s">
        <v>898</v>
      </c>
      <c r="C58" s="236" t="s">
        <v>876</v>
      </c>
      <c r="D58" s="536">
        <f t="shared" si="1"/>
        <v>0</v>
      </c>
      <c r="E58" s="533">
        <v>0</v>
      </c>
      <c r="F58" s="533">
        <v>0</v>
      </c>
      <c r="G58" s="533">
        <v>0</v>
      </c>
      <c r="H58" s="533">
        <v>0</v>
      </c>
      <c r="I58" s="523">
        <f t="shared" ref="I58:Q58" si="46">I59+I60+I61+I62+I63+I64+I65+I66</f>
        <v>0</v>
      </c>
      <c r="J58" s="523">
        <f t="shared" si="46"/>
        <v>0</v>
      </c>
      <c r="K58" s="523">
        <f t="shared" si="46"/>
        <v>0</v>
      </c>
      <c r="L58" s="523">
        <f t="shared" si="46"/>
        <v>0</v>
      </c>
      <c r="M58" s="523">
        <f t="shared" si="46"/>
        <v>0</v>
      </c>
      <c r="N58" s="523">
        <f t="shared" si="46"/>
        <v>0</v>
      </c>
      <c r="O58" s="523">
        <f t="shared" si="46"/>
        <v>0</v>
      </c>
      <c r="P58" s="523">
        <f t="shared" si="46"/>
        <v>0</v>
      </c>
      <c r="Q58" s="523">
        <f t="shared" si="46"/>
        <v>0</v>
      </c>
      <c r="R58" s="523">
        <f t="shared" si="4"/>
        <v>0</v>
      </c>
      <c r="S58" s="523">
        <f t="shared" si="5"/>
        <v>0</v>
      </c>
      <c r="T58" s="523">
        <f t="shared" si="6"/>
        <v>0</v>
      </c>
      <c r="U58" s="573" t="e">
        <f t="shared" si="7"/>
        <v>#DIV/0!</v>
      </c>
      <c r="V58" s="592" t="e">
        <f>'10'!#REF!</f>
        <v>#REF!</v>
      </c>
    </row>
    <row r="59" spans="1:22" ht="47.25">
      <c r="A59" s="199" t="s">
        <v>899</v>
      </c>
      <c r="B59" s="509" t="s">
        <v>900</v>
      </c>
      <c r="C59" s="236" t="s">
        <v>876</v>
      </c>
      <c r="D59" s="536">
        <f t="shared" si="1"/>
        <v>0</v>
      </c>
      <c r="E59" s="533">
        <v>0</v>
      </c>
      <c r="F59" s="533">
        <v>0</v>
      </c>
      <c r="G59" s="533">
        <v>0</v>
      </c>
      <c r="H59" s="533">
        <v>0</v>
      </c>
      <c r="I59" s="523">
        <v>0</v>
      </c>
      <c r="J59" s="523">
        <v>0</v>
      </c>
      <c r="K59" s="523">
        <v>0</v>
      </c>
      <c r="L59" s="523">
        <v>0</v>
      </c>
      <c r="M59" s="523">
        <v>0</v>
      </c>
      <c r="N59" s="523">
        <v>0</v>
      </c>
      <c r="O59" s="523">
        <v>0</v>
      </c>
      <c r="P59" s="523">
        <v>0</v>
      </c>
      <c r="Q59" s="523">
        <v>0</v>
      </c>
      <c r="R59" s="523">
        <f t="shared" si="4"/>
        <v>0</v>
      </c>
      <c r="S59" s="523">
        <f t="shared" si="5"/>
        <v>0</v>
      </c>
      <c r="T59" s="523">
        <f t="shared" si="6"/>
        <v>0</v>
      </c>
      <c r="U59" s="573" t="e">
        <f t="shared" si="7"/>
        <v>#DIV/0!</v>
      </c>
      <c r="V59" s="592" t="e">
        <f>'10'!#REF!</f>
        <v>#REF!</v>
      </c>
    </row>
    <row r="60" spans="1:22" ht="126">
      <c r="A60" s="199" t="s">
        <v>899</v>
      </c>
      <c r="B60" s="509" t="s">
        <v>901</v>
      </c>
      <c r="C60" s="236" t="s">
        <v>876</v>
      </c>
      <c r="D60" s="536">
        <f t="shared" si="1"/>
        <v>0</v>
      </c>
      <c r="E60" s="533">
        <v>0</v>
      </c>
      <c r="F60" s="533">
        <v>0</v>
      </c>
      <c r="G60" s="533">
        <v>0</v>
      </c>
      <c r="H60" s="533">
        <v>0</v>
      </c>
      <c r="I60" s="523">
        <v>0</v>
      </c>
      <c r="J60" s="523">
        <v>0</v>
      </c>
      <c r="K60" s="523">
        <v>0</v>
      </c>
      <c r="L60" s="523">
        <v>0</v>
      </c>
      <c r="M60" s="523">
        <v>0</v>
      </c>
      <c r="N60" s="523">
        <v>0</v>
      </c>
      <c r="O60" s="523">
        <v>0</v>
      </c>
      <c r="P60" s="523">
        <v>0</v>
      </c>
      <c r="Q60" s="523">
        <v>0</v>
      </c>
      <c r="R60" s="523">
        <f t="shared" si="4"/>
        <v>0</v>
      </c>
      <c r="S60" s="523">
        <f t="shared" si="5"/>
        <v>0</v>
      </c>
      <c r="T60" s="523">
        <f t="shared" si="6"/>
        <v>0</v>
      </c>
      <c r="U60" s="573" t="e">
        <f t="shared" si="7"/>
        <v>#DIV/0!</v>
      </c>
      <c r="V60" s="592" t="e">
        <f>'10'!#REF!</f>
        <v>#REF!</v>
      </c>
    </row>
    <row r="61" spans="1:22" ht="110.25">
      <c r="A61" s="199" t="s">
        <v>899</v>
      </c>
      <c r="B61" s="509" t="s">
        <v>902</v>
      </c>
      <c r="C61" s="236" t="s">
        <v>876</v>
      </c>
      <c r="D61" s="536">
        <f t="shared" si="1"/>
        <v>0</v>
      </c>
      <c r="E61" s="533">
        <v>0</v>
      </c>
      <c r="F61" s="533">
        <v>0</v>
      </c>
      <c r="G61" s="533">
        <v>0</v>
      </c>
      <c r="H61" s="533">
        <v>0</v>
      </c>
      <c r="I61" s="523">
        <v>0</v>
      </c>
      <c r="J61" s="523">
        <v>0</v>
      </c>
      <c r="K61" s="523">
        <v>0</v>
      </c>
      <c r="L61" s="523">
        <v>0</v>
      </c>
      <c r="M61" s="523">
        <v>0</v>
      </c>
      <c r="N61" s="523">
        <v>0</v>
      </c>
      <c r="O61" s="523">
        <v>0</v>
      </c>
      <c r="P61" s="523">
        <v>0</v>
      </c>
      <c r="Q61" s="523">
        <v>0</v>
      </c>
      <c r="R61" s="523">
        <f t="shared" si="4"/>
        <v>0</v>
      </c>
      <c r="S61" s="523">
        <f t="shared" si="5"/>
        <v>0</v>
      </c>
      <c r="T61" s="523">
        <f t="shared" si="6"/>
        <v>0</v>
      </c>
      <c r="U61" s="573" t="e">
        <f t="shared" si="7"/>
        <v>#DIV/0!</v>
      </c>
      <c r="V61" s="592" t="e">
        <f>'10'!#REF!</f>
        <v>#REF!</v>
      </c>
    </row>
    <row r="62" spans="1:22" ht="110.25">
      <c r="A62" s="199" t="s">
        <v>899</v>
      </c>
      <c r="B62" s="509" t="s">
        <v>903</v>
      </c>
      <c r="C62" s="236" t="s">
        <v>876</v>
      </c>
      <c r="D62" s="536">
        <f t="shared" si="1"/>
        <v>0</v>
      </c>
      <c r="E62" s="533">
        <v>0</v>
      </c>
      <c r="F62" s="533">
        <v>0</v>
      </c>
      <c r="G62" s="533">
        <v>0</v>
      </c>
      <c r="H62" s="533">
        <v>0</v>
      </c>
      <c r="I62" s="523">
        <v>0</v>
      </c>
      <c r="J62" s="523">
        <v>0</v>
      </c>
      <c r="K62" s="523">
        <v>0</v>
      </c>
      <c r="L62" s="523">
        <v>0</v>
      </c>
      <c r="M62" s="523">
        <v>0</v>
      </c>
      <c r="N62" s="523">
        <v>0</v>
      </c>
      <c r="O62" s="523">
        <v>0</v>
      </c>
      <c r="P62" s="523">
        <v>0</v>
      </c>
      <c r="Q62" s="523">
        <v>0</v>
      </c>
      <c r="R62" s="523">
        <f t="shared" si="4"/>
        <v>0</v>
      </c>
      <c r="S62" s="523">
        <f t="shared" si="5"/>
        <v>0</v>
      </c>
      <c r="T62" s="523">
        <f t="shared" si="6"/>
        <v>0</v>
      </c>
      <c r="U62" s="573" t="e">
        <f t="shared" si="7"/>
        <v>#DIV/0!</v>
      </c>
      <c r="V62" s="592" t="e">
        <f>'10'!#REF!</f>
        <v>#REF!</v>
      </c>
    </row>
    <row r="63" spans="1:22" ht="47.25">
      <c r="A63" s="199" t="s">
        <v>904</v>
      </c>
      <c r="B63" s="509" t="s">
        <v>900</v>
      </c>
      <c r="C63" s="236" t="s">
        <v>876</v>
      </c>
      <c r="D63" s="536">
        <f t="shared" si="1"/>
        <v>0</v>
      </c>
      <c r="E63" s="533">
        <v>0</v>
      </c>
      <c r="F63" s="533">
        <v>0</v>
      </c>
      <c r="G63" s="533">
        <v>0</v>
      </c>
      <c r="H63" s="533">
        <v>0</v>
      </c>
      <c r="I63" s="523">
        <v>0</v>
      </c>
      <c r="J63" s="523">
        <v>0</v>
      </c>
      <c r="K63" s="523">
        <v>0</v>
      </c>
      <c r="L63" s="523">
        <v>0</v>
      </c>
      <c r="M63" s="523">
        <v>0</v>
      </c>
      <c r="N63" s="523">
        <v>0</v>
      </c>
      <c r="O63" s="523">
        <v>0</v>
      </c>
      <c r="P63" s="523">
        <v>0</v>
      </c>
      <c r="Q63" s="523">
        <v>0</v>
      </c>
      <c r="R63" s="523">
        <f t="shared" si="4"/>
        <v>0</v>
      </c>
      <c r="S63" s="523">
        <f t="shared" si="5"/>
        <v>0</v>
      </c>
      <c r="T63" s="523">
        <f t="shared" si="6"/>
        <v>0</v>
      </c>
      <c r="U63" s="573" t="e">
        <f t="shared" si="7"/>
        <v>#DIV/0!</v>
      </c>
      <c r="V63" s="592" t="e">
        <f>'10'!#REF!</f>
        <v>#REF!</v>
      </c>
    </row>
    <row r="64" spans="1:22" ht="126">
      <c r="A64" s="199" t="s">
        <v>904</v>
      </c>
      <c r="B64" s="509" t="s">
        <v>901</v>
      </c>
      <c r="C64" s="236" t="s">
        <v>876</v>
      </c>
      <c r="D64" s="536">
        <f t="shared" si="1"/>
        <v>0</v>
      </c>
      <c r="E64" s="533">
        <v>0</v>
      </c>
      <c r="F64" s="533">
        <v>0</v>
      </c>
      <c r="G64" s="533">
        <v>0</v>
      </c>
      <c r="H64" s="533">
        <v>0</v>
      </c>
      <c r="I64" s="523">
        <v>0</v>
      </c>
      <c r="J64" s="523">
        <v>0</v>
      </c>
      <c r="K64" s="523">
        <v>0</v>
      </c>
      <c r="L64" s="523">
        <v>0</v>
      </c>
      <c r="M64" s="523">
        <v>0</v>
      </c>
      <c r="N64" s="523">
        <v>0</v>
      </c>
      <c r="O64" s="523">
        <v>0</v>
      </c>
      <c r="P64" s="523">
        <v>0</v>
      </c>
      <c r="Q64" s="523">
        <v>0</v>
      </c>
      <c r="R64" s="523">
        <f t="shared" si="4"/>
        <v>0</v>
      </c>
      <c r="S64" s="523">
        <f t="shared" si="5"/>
        <v>0</v>
      </c>
      <c r="T64" s="523">
        <f t="shared" si="6"/>
        <v>0</v>
      </c>
      <c r="U64" s="573" t="e">
        <f t="shared" si="7"/>
        <v>#DIV/0!</v>
      </c>
      <c r="V64" s="592" t="e">
        <f>'10'!#REF!</f>
        <v>#REF!</v>
      </c>
    </row>
    <row r="65" spans="1:22" ht="110.25">
      <c r="A65" s="199" t="s">
        <v>904</v>
      </c>
      <c r="B65" s="509" t="s">
        <v>902</v>
      </c>
      <c r="C65" s="236" t="s">
        <v>876</v>
      </c>
      <c r="D65" s="536">
        <f t="shared" si="1"/>
        <v>0</v>
      </c>
      <c r="E65" s="533">
        <v>0</v>
      </c>
      <c r="F65" s="533">
        <v>0</v>
      </c>
      <c r="G65" s="533">
        <v>0</v>
      </c>
      <c r="H65" s="533">
        <v>0</v>
      </c>
      <c r="I65" s="523">
        <v>0</v>
      </c>
      <c r="J65" s="523">
        <v>0</v>
      </c>
      <c r="K65" s="523">
        <v>0</v>
      </c>
      <c r="L65" s="523">
        <v>0</v>
      </c>
      <c r="M65" s="523">
        <v>0</v>
      </c>
      <c r="N65" s="523">
        <v>0</v>
      </c>
      <c r="O65" s="523">
        <v>0</v>
      </c>
      <c r="P65" s="523">
        <v>0</v>
      </c>
      <c r="Q65" s="523">
        <v>0</v>
      </c>
      <c r="R65" s="523">
        <f t="shared" si="4"/>
        <v>0</v>
      </c>
      <c r="S65" s="523">
        <f t="shared" si="5"/>
        <v>0</v>
      </c>
      <c r="T65" s="523">
        <f t="shared" si="6"/>
        <v>0</v>
      </c>
      <c r="U65" s="573" t="e">
        <f t="shared" si="7"/>
        <v>#DIV/0!</v>
      </c>
      <c r="V65" s="592" t="e">
        <f>'10'!#REF!</f>
        <v>#REF!</v>
      </c>
    </row>
    <row r="66" spans="1:22" ht="110.25">
      <c r="A66" s="199" t="s">
        <v>904</v>
      </c>
      <c r="B66" s="509" t="s">
        <v>903</v>
      </c>
      <c r="C66" s="236" t="s">
        <v>876</v>
      </c>
      <c r="D66" s="536">
        <f t="shared" si="1"/>
        <v>0</v>
      </c>
      <c r="E66" s="533">
        <v>0</v>
      </c>
      <c r="F66" s="533">
        <v>0</v>
      </c>
      <c r="G66" s="533">
        <v>0</v>
      </c>
      <c r="H66" s="533">
        <v>0</v>
      </c>
      <c r="I66" s="523">
        <v>0</v>
      </c>
      <c r="J66" s="523">
        <v>0</v>
      </c>
      <c r="K66" s="523">
        <v>0</v>
      </c>
      <c r="L66" s="523">
        <v>0</v>
      </c>
      <c r="M66" s="523">
        <v>0</v>
      </c>
      <c r="N66" s="523">
        <v>0</v>
      </c>
      <c r="O66" s="523">
        <v>0</v>
      </c>
      <c r="P66" s="523">
        <v>0</v>
      </c>
      <c r="Q66" s="523">
        <v>0</v>
      </c>
      <c r="R66" s="523">
        <f t="shared" si="4"/>
        <v>0</v>
      </c>
      <c r="S66" s="523">
        <f t="shared" si="5"/>
        <v>0</v>
      </c>
      <c r="T66" s="523">
        <f t="shared" si="6"/>
        <v>0</v>
      </c>
      <c r="U66" s="573" t="e">
        <f t="shared" si="7"/>
        <v>#DIV/0!</v>
      </c>
      <c r="V66" s="592" t="e">
        <f>'10'!#REF!</f>
        <v>#REF!</v>
      </c>
    </row>
    <row r="67" spans="1:22" ht="94.5">
      <c r="A67" s="201" t="s">
        <v>905</v>
      </c>
      <c r="B67" s="509" t="s">
        <v>906</v>
      </c>
      <c r="C67" s="236" t="s">
        <v>876</v>
      </c>
      <c r="D67" s="536">
        <f t="shared" si="1"/>
        <v>0</v>
      </c>
      <c r="E67" s="533">
        <v>0</v>
      </c>
      <c r="F67" s="533">
        <v>0</v>
      </c>
      <c r="G67" s="533">
        <v>0</v>
      </c>
      <c r="H67" s="533">
        <v>0</v>
      </c>
      <c r="I67" s="523">
        <f t="shared" ref="I67:Q67" si="47">I68+I69</f>
        <v>0</v>
      </c>
      <c r="J67" s="523">
        <f t="shared" si="47"/>
        <v>0</v>
      </c>
      <c r="K67" s="523">
        <f t="shared" si="47"/>
        <v>0</v>
      </c>
      <c r="L67" s="523">
        <f t="shared" si="47"/>
        <v>0</v>
      </c>
      <c r="M67" s="523">
        <f t="shared" si="47"/>
        <v>0</v>
      </c>
      <c r="N67" s="523">
        <f t="shared" si="47"/>
        <v>0</v>
      </c>
      <c r="O67" s="523">
        <f t="shared" si="47"/>
        <v>0</v>
      </c>
      <c r="P67" s="523">
        <f t="shared" si="47"/>
        <v>0</v>
      </c>
      <c r="Q67" s="523">
        <f t="shared" si="47"/>
        <v>0</v>
      </c>
      <c r="R67" s="523">
        <f t="shared" si="4"/>
        <v>0</v>
      </c>
      <c r="S67" s="523">
        <f t="shared" si="5"/>
        <v>0</v>
      </c>
      <c r="T67" s="523">
        <f t="shared" si="6"/>
        <v>0</v>
      </c>
      <c r="U67" s="573" t="e">
        <f t="shared" si="7"/>
        <v>#DIV/0!</v>
      </c>
      <c r="V67" s="592" t="e">
        <f>'10'!#REF!</f>
        <v>#REF!</v>
      </c>
    </row>
    <row r="68" spans="1:22" ht="110.25">
      <c r="A68" s="199" t="s">
        <v>907</v>
      </c>
      <c r="B68" s="509" t="s">
        <v>902</v>
      </c>
      <c r="C68" s="236" t="s">
        <v>876</v>
      </c>
      <c r="D68" s="536">
        <f t="shared" si="1"/>
        <v>0</v>
      </c>
      <c r="E68" s="533">
        <v>0</v>
      </c>
      <c r="F68" s="533">
        <v>0</v>
      </c>
      <c r="G68" s="533">
        <v>0</v>
      </c>
      <c r="H68" s="533">
        <v>0</v>
      </c>
      <c r="I68" s="523">
        <v>0</v>
      </c>
      <c r="J68" s="523">
        <v>0</v>
      </c>
      <c r="K68" s="523">
        <v>0</v>
      </c>
      <c r="L68" s="523">
        <v>0</v>
      </c>
      <c r="M68" s="523">
        <v>0</v>
      </c>
      <c r="N68" s="523">
        <v>0</v>
      </c>
      <c r="O68" s="523">
        <v>0</v>
      </c>
      <c r="P68" s="523">
        <v>0</v>
      </c>
      <c r="Q68" s="523">
        <v>0</v>
      </c>
      <c r="R68" s="523">
        <f t="shared" si="4"/>
        <v>0</v>
      </c>
      <c r="S68" s="523">
        <f t="shared" si="5"/>
        <v>0</v>
      </c>
      <c r="T68" s="523">
        <f t="shared" si="6"/>
        <v>0</v>
      </c>
      <c r="U68" s="573" t="e">
        <f t="shared" si="7"/>
        <v>#DIV/0!</v>
      </c>
      <c r="V68" s="592" t="e">
        <f>'10'!#REF!</f>
        <v>#REF!</v>
      </c>
    </row>
    <row r="69" spans="1:22" ht="78.75">
      <c r="A69" s="199" t="s">
        <v>908</v>
      </c>
      <c r="B69" s="509" t="s">
        <v>909</v>
      </c>
      <c r="C69" s="236" t="s">
        <v>876</v>
      </c>
      <c r="D69" s="536">
        <f t="shared" si="1"/>
        <v>0</v>
      </c>
      <c r="E69" s="533">
        <v>0</v>
      </c>
      <c r="F69" s="533">
        <v>0</v>
      </c>
      <c r="G69" s="536">
        <f t="shared" si="2"/>
        <v>0</v>
      </c>
      <c r="H69" s="533">
        <v>0</v>
      </c>
      <c r="I69" s="523">
        <v>0</v>
      </c>
      <c r="J69" s="523">
        <v>0</v>
      </c>
      <c r="K69" s="523">
        <v>0</v>
      </c>
      <c r="L69" s="523">
        <v>0</v>
      </c>
      <c r="M69" s="523">
        <v>0</v>
      </c>
      <c r="N69" s="523">
        <v>0</v>
      </c>
      <c r="O69" s="523">
        <v>0</v>
      </c>
      <c r="P69" s="523">
        <v>0</v>
      </c>
      <c r="Q69" s="523">
        <v>0</v>
      </c>
      <c r="R69" s="523">
        <f t="shared" si="4"/>
        <v>0</v>
      </c>
      <c r="S69" s="523">
        <f t="shared" si="5"/>
        <v>0</v>
      </c>
      <c r="T69" s="523">
        <f t="shared" si="6"/>
        <v>0</v>
      </c>
      <c r="U69" s="573" t="e">
        <f t="shared" si="7"/>
        <v>#DIV/0!</v>
      </c>
      <c r="V69" s="592" t="e">
        <f>'10'!#REF!</f>
        <v>#REF!</v>
      </c>
    </row>
    <row r="70" spans="1:22" ht="47.25">
      <c r="A70" s="201" t="s">
        <v>910</v>
      </c>
      <c r="B70" s="509" t="s">
        <v>911</v>
      </c>
      <c r="C70" s="236" t="s">
        <v>876</v>
      </c>
      <c r="D70" s="536">
        <f t="shared" si="1"/>
        <v>6.4691525423728802</v>
      </c>
      <c r="E70" s="523">
        <f>E71+E77</f>
        <v>4.57558358474577</v>
      </c>
      <c r="F70" s="536">
        <v>0</v>
      </c>
      <c r="G70" s="536">
        <f t="shared" si="2"/>
        <v>6.4691525423728802</v>
      </c>
      <c r="H70" s="536">
        <v>6.4691525423728802</v>
      </c>
      <c r="I70" s="523">
        <f t="shared" ref="I70:Q70" si="48">I71+I76+I84+I93</f>
        <v>6.1723000033559323</v>
      </c>
      <c r="J70" s="523">
        <f t="shared" si="48"/>
        <v>0.51718687088666104</v>
      </c>
      <c r="K70" s="523">
        <f t="shared" si="48"/>
        <v>0</v>
      </c>
      <c r="L70" s="523">
        <f t="shared" si="48"/>
        <v>0</v>
      </c>
      <c r="M70" s="523">
        <f t="shared" si="48"/>
        <v>0</v>
      </c>
      <c r="N70" s="523">
        <f t="shared" si="48"/>
        <v>0</v>
      </c>
      <c r="O70" s="523">
        <f t="shared" si="48"/>
        <v>0</v>
      </c>
      <c r="P70" s="523">
        <f t="shared" si="48"/>
        <v>3.5556728813559322</v>
      </c>
      <c r="Q70" s="523">
        <f t="shared" si="48"/>
        <v>3.7980457633559324</v>
      </c>
      <c r="R70" s="523">
        <f t="shared" si="4"/>
        <v>0</v>
      </c>
      <c r="S70" s="523">
        <f t="shared" si="5"/>
        <v>0.29685253901694786</v>
      </c>
      <c r="T70" s="523">
        <f t="shared" si="6"/>
        <v>0.29685253901694786</v>
      </c>
      <c r="U70" s="568">
        <f t="shared" si="7"/>
        <v>95.411260793858759</v>
      </c>
      <c r="V70" s="592">
        <f>'10'!T54</f>
        <v>0</v>
      </c>
    </row>
    <row r="71" spans="1:22" ht="78.75">
      <c r="A71" s="201" t="s">
        <v>840</v>
      </c>
      <c r="B71" s="509" t="s">
        <v>912</v>
      </c>
      <c r="C71" s="236" t="s">
        <v>876</v>
      </c>
      <c r="D71" s="536">
        <f t="shared" si="1"/>
        <v>0</v>
      </c>
      <c r="E71" s="523">
        <f>E72</f>
        <v>4.2195835847457701</v>
      </c>
      <c r="F71" s="536">
        <v>0</v>
      </c>
      <c r="G71" s="536">
        <f t="shared" si="2"/>
        <v>0</v>
      </c>
      <c r="H71" s="536">
        <v>0</v>
      </c>
      <c r="I71" s="523">
        <f t="shared" ref="I71:Q71" si="49">I72+I75</f>
        <v>0</v>
      </c>
      <c r="J71" s="523">
        <f t="shared" si="49"/>
        <v>0</v>
      </c>
      <c r="K71" s="523">
        <f t="shared" si="49"/>
        <v>0</v>
      </c>
      <c r="L71" s="523">
        <f t="shared" si="49"/>
        <v>0</v>
      </c>
      <c r="M71" s="523">
        <f t="shared" si="49"/>
        <v>0</v>
      </c>
      <c r="N71" s="523">
        <f t="shared" si="49"/>
        <v>0</v>
      </c>
      <c r="O71" s="523">
        <f t="shared" si="49"/>
        <v>0</v>
      </c>
      <c r="P71" s="523">
        <f t="shared" si="49"/>
        <v>0</v>
      </c>
      <c r="Q71" s="523">
        <f t="shared" si="49"/>
        <v>0</v>
      </c>
      <c r="R71" s="523">
        <f t="shared" si="4"/>
        <v>0</v>
      </c>
      <c r="S71" s="523">
        <f t="shared" si="5"/>
        <v>0</v>
      </c>
      <c r="T71" s="523">
        <f t="shared" si="6"/>
        <v>0</v>
      </c>
      <c r="U71" s="573" t="e">
        <f t="shared" si="7"/>
        <v>#DIV/0!</v>
      </c>
      <c r="V71" s="592">
        <f>'10'!T55</f>
        <v>0</v>
      </c>
    </row>
    <row r="72" spans="1:22" ht="31.5">
      <c r="A72" s="201" t="s">
        <v>421</v>
      </c>
      <c r="B72" s="509" t="s">
        <v>913</v>
      </c>
      <c r="C72" s="236" t="s">
        <v>876</v>
      </c>
      <c r="D72" s="536">
        <f t="shared" si="1"/>
        <v>0</v>
      </c>
      <c r="E72" s="523">
        <f>SUM(E73:E74)</f>
        <v>4.2195835847457701</v>
      </c>
      <c r="F72" s="536">
        <v>0</v>
      </c>
      <c r="G72" s="536">
        <f t="shared" si="2"/>
        <v>0</v>
      </c>
      <c r="H72" s="536">
        <v>0</v>
      </c>
      <c r="I72" s="523">
        <f>SUM(I73:I74)</f>
        <v>0</v>
      </c>
      <c r="J72" s="523">
        <f t="shared" ref="J72:Q72" si="50">SUM(J73:J74)</f>
        <v>0</v>
      </c>
      <c r="K72" s="523">
        <f t="shared" si="50"/>
        <v>0</v>
      </c>
      <c r="L72" s="523">
        <f t="shared" si="50"/>
        <v>0</v>
      </c>
      <c r="M72" s="523">
        <f t="shared" si="50"/>
        <v>0</v>
      </c>
      <c r="N72" s="523">
        <f t="shared" si="50"/>
        <v>0</v>
      </c>
      <c r="O72" s="523">
        <f t="shared" si="50"/>
        <v>0</v>
      </c>
      <c r="P72" s="523">
        <f t="shared" si="50"/>
        <v>0</v>
      </c>
      <c r="Q72" s="523">
        <f t="shared" si="50"/>
        <v>0</v>
      </c>
      <c r="R72" s="523">
        <f t="shared" si="4"/>
        <v>0</v>
      </c>
      <c r="S72" s="523">
        <f t="shared" si="5"/>
        <v>0</v>
      </c>
      <c r="T72" s="523">
        <f t="shared" si="6"/>
        <v>0</v>
      </c>
      <c r="U72" s="573" t="e">
        <f t="shared" si="7"/>
        <v>#DIV/0!</v>
      </c>
      <c r="V72" s="592">
        <f>'10'!T56</f>
        <v>0</v>
      </c>
    </row>
    <row r="73" spans="1:22" ht="31.5">
      <c r="A73" s="205" t="s">
        <v>423</v>
      </c>
      <c r="B73" s="510" t="s">
        <v>1070</v>
      </c>
      <c r="C73" s="206" t="s">
        <v>1086</v>
      </c>
      <c r="D73" s="536">
        <f t="shared" si="1"/>
        <v>0</v>
      </c>
      <c r="E73" s="571">
        <f>1.1128243220339+1.8136779661017+0.9238363/1.18</f>
        <v>3.7094144067796679</v>
      </c>
      <c r="F73" s="537">
        <v>0</v>
      </c>
      <c r="G73" s="537">
        <f t="shared" si="2"/>
        <v>0</v>
      </c>
      <c r="H73" s="537">
        <v>0</v>
      </c>
      <c r="I73" s="522">
        <f>K73+M73+O73+Q73</f>
        <v>0</v>
      </c>
      <c r="J73" s="522">
        <v>0</v>
      </c>
      <c r="K73" s="522">
        <v>0</v>
      </c>
      <c r="L73" s="522">
        <v>0</v>
      </c>
      <c r="M73" s="522">
        <v>0</v>
      </c>
      <c r="N73" s="522">
        <v>0</v>
      </c>
      <c r="O73" s="522">
        <v>0</v>
      </c>
      <c r="P73" s="522">
        <v>0</v>
      </c>
      <c r="Q73" s="522">
        <v>0</v>
      </c>
      <c r="R73" s="522">
        <f t="shared" si="4"/>
        <v>0</v>
      </c>
      <c r="S73" s="522">
        <f t="shared" si="5"/>
        <v>0</v>
      </c>
      <c r="T73" s="522">
        <f t="shared" si="6"/>
        <v>0</v>
      </c>
      <c r="U73" s="539" t="e">
        <f t="shared" si="7"/>
        <v>#DIV/0!</v>
      </c>
      <c r="V73" s="550" t="s">
        <v>1193</v>
      </c>
    </row>
    <row r="74" spans="1:22" ht="31.5">
      <c r="A74" s="205" t="s">
        <v>424</v>
      </c>
      <c r="B74" s="510" t="s">
        <v>1071</v>
      </c>
      <c r="C74" s="206" t="s">
        <v>1090</v>
      </c>
      <c r="D74" s="536">
        <f t="shared" si="1"/>
        <v>0</v>
      </c>
      <c r="E74" s="522">
        <f>0.60199963/1.18</f>
        <v>0.51016917796610173</v>
      </c>
      <c r="F74" s="537">
        <v>0</v>
      </c>
      <c r="G74" s="537">
        <f t="shared" si="2"/>
        <v>0</v>
      </c>
      <c r="H74" s="537">
        <v>0</v>
      </c>
      <c r="I74" s="522">
        <f>K74+M74+O74+Q74</f>
        <v>0</v>
      </c>
      <c r="J74" s="522">
        <v>0</v>
      </c>
      <c r="K74" s="522">
        <v>0</v>
      </c>
      <c r="L74" s="522">
        <v>0</v>
      </c>
      <c r="M74" s="522">
        <f>'10'!L58/1.18</f>
        <v>0</v>
      </c>
      <c r="N74" s="522">
        <v>0</v>
      </c>
      <c r="O74" s="522">
        <v>0</v>
      </c>
      <c r="P74" s="522">
        <v>0</v>
      </c>
      <c r="Q74" s="522">
        <v>0</v>
      </c>
      <c r="R74" s="522">
        <f t="shared" si="4"/>
        <v>0</v>
      </c>
      <c r="S74" s="522">
        <f t="shared" si="5"/>
        <v>0</v>
      </c>
      <c r="T74" s="522">
        <f t="shared" si="6"/>
        <v>0</v>
      </c>
      <c r="U74" s="539" t="e">
        <f t="shared" si="7"/>
        <v>#DIV/0!</v>
      </c>
      <c r="V74" s="550" t="s">
        <v>1193</v>
      </c>
    </row>
    <row r="75" spans="1:22" s="572" customFormat="1" ht="63">
      <c r="A75" s="201" t="s">
        <v>426</v>
      </c>
      <c r="B75" s="509" t="s">
        <v>914</v>
      </c>
      <c r="C75" s="236" t="s">
        <v>876</v>
      </c>
      <c r="D75" s="536">
        <f t="shared" si="1"/>
        <v>0</v>
      </c>
      <c r="E75" s="536">
        <v>0</v>
      </c>
      <c r="F75" s="536">
        <v>0</v>
      </c>
      <c r="G75" s="536">
        <f t="shared" si="2"/>
        <v>0</v>
      </c>
      <c r="H75" s="536">
        <v>0</v>
      </c>
      <c r="I75" s="523">
        <v>0</v>
      </c>
      <c r="J75" s="523">
        <v>0</v>
      </c>
      <c r="K75" s="523">
        <v>0</v>
      </c>
      <c r="L75" s="523">
        <v>0</v>
      </c>
      <c r="M75" s="523">
        <v>0</v>
      </c>
      <c r="N75" s="523">
        <v>0</v>
      </c>
      <c r="O75" s="523">
        <v>0</v>
      </c>
      <c r="P75" s="523">
        <v>0</v>
      </c>
      <c r="Q75" s="523">
        <v>0</v>
      </c>
      <c r="R75" s="523">
        <f t="shared" si="4"/>
        <v>0</v>
      </c>
      <c r="S75" s="523">
        <f t="shared" si="5"/>
        <v>0</v>
      </c>
      <c r="T75" s="523">
        <f t="shared" si="6"/>
        <v>0</v>
      </c>
      <c r="U75" s="573" t="e">
        <f t="shared" si="7"/>
        <v>#DIV/0!</v>
      </c>
      <c r="V75" s="569" t="e">
        <f>'10'!#REF!</f>
        <v>#REF!</v>
      </c>
    </row>
    <row r="76" spans="1:22" s="572" customFormat="1" ht="47.25">
      <c r="A76" s="201" t="s">
        <v>841</v>
      </c>
      <c r="B76" s="509" t="s">
        <v>915</v>
      </c>
      <c r="C76" s="236" t="s">
        <v>876</v>
      </c>
      <c r="D76" s="536">
        <f t="shared" si="1"/>
        <v>6.4691525423728802</v>
      </c>
      <c r="E76" s="533">
        <v>0</v>
      </c>
      <c r="F76" s="533">
        <v>0</v>
      </c>
      <c r="G76" s="536">
        <f t="shared" si="2"/>
        <v>6.4691525423728802</v>
      </c>
      <c r="H76" s="533">
        <v>6.4691525423728802</v>
      </c>
      <c r="I76" s="523">
        <f t="shared" ref="I76:Q76" si="51">I77+I83</f>
        <v>6.1723000033559323</v>
      </c>
      <c r="J76" s="523">
        <f t="shared" si="51"/>
        <v>0.51718687088666104</v>
      </c>
      <c r="K76" s="523">
        <f t="shared" si="51"/>
        <v>0</v>
      </c>
      <c r="L76" s="523">
        <f t="shared" si="51"/>
        <v>0</v>
      </c>
      <c r="M76" s="523">
        <f t="shared" si="51"/>
        <v>0</v>
      </c>
      <c r="N76" s="523">
        <f t="shared" si="51"/>
        <v>0</v>
      </c>
      <c r="O76" s="523">
        <f t="shared" si="51"/>
        <v>0</v>
      </c>
      <c r="P76" s="523">
        <f t="shared" si="51"/>
        <v>3.5556728813559322</v>
      </c>
      <c r="Q76" s="523">
        <f t="shared" si="51"/>
        <v>3.7980457633559324</v>
      </c>
      <c r="R76" s="523">
        <f t="shared" si="4"/>
        <v>0</v>
      </c>
      <c r="S76" s="523">
        <f t="shared" si="5"/>
        <v>0.29685253901694786</v>
      </c>
      <c r="T76" s="523">
        <f t="shared" si="6"/>
        <v>0.29685253901694786</v>
      </c>
      <c r="U76" s="568">
        <f t="shared" si="7"/>
        <v>95.411260793858759</v>
      </c>
      <c r="V76" s="569">
        <f>'10'!T59</f>
        <v>0</v>
      </c>
    </row>
    <row r="77" spans="1:22" ht="31.5">
      <c r="A77" s="201" t="s">
        <v>916</v>
      </c>
      <c r="B77" s="509" t="s">
        <v>917</v>
      </c>
      <c r="C77" s="236" t="s">
        <v>876</v>
      </c>
      <c r="D77" s="536">
        <f t="shared" si="1"/>
        <v>6.4691584772896586</v>
      </c>
      <c r="E77" s="586">
        <f>SUM(E78:E82)</f>
        <v>0.35600000000000004</v>
      </c>
      <c r="F77" s="536">
        <v>0</v>
      </c>
      <c r="G77" s="536">
        <f t="shared" si="2"/>
        <v>6.4691584772896586</v>
      </c>
      <c r="H77" s="536">
        <f>H78+H79+H80+H81+H82</f>
        <v>6.4691584772896586</v>
      </c>
      <c r="I77" s="523">
        <f>I78+I81+I82+I80+I79</f>
        <v>6.1723000033559323</v>
      </c>
      <c r="J77" s="523">
        <f t="shared" ref="J77:O77" si="52">J78+J81+J82+J80</f>
        <v>0.51718687088666104</v>
      </c>
      <c r="K77" s="523">
        <f t="shared" si="52"/>
        <v>0</v>
      </c>
      <c r="L77" s="523">
        <f t="shared" si="52"/>
        <v>0</v>
      </c>
      <c r="M77" s="523">
        <f t="shared" si="52"/>
        <v>0</v>
      </c>
      <c r="N77" s="523">
        <f t="shared" si="52"/>
        <v>0</v>
      </c>
      <c r="O77" s="523">
        <f t="shared" si="52"/>
        <v>0</v>
      </c>
      <c r="P77" s="523">
        <f t="shared" ref="P77:Q77" si="53">P78+P81+P82</f>
        <v>3.5556728813559322</v>
      </c>
      <c r="Q77" s="523">
        <f t="shared" si="53"/>
        <v>3.7980457633559324</v>
      </c>
      <c r="R77" s="523">
        <f t="shared" si="4"/>
        <v>0</v>
      </c>
      <c r="S77" s="523">
        <f t="shared" si="5"/>
        <v>0.29685847393372633</v>
      </c>
      <c r="T77" s="523">
        <f t="shared" si="6"/>
        <v>0.29685847393372633</v>
      </c>
      <c r="U77" s="568">
        <f t="shared" si="7"/>
        <v>95.411173261934081</v>
      </c>
      <c r="V77" s="592">
        <f>'10'!T60</f>
        <v>0</v>
      </c>
    </row>
    <row r="78" spans="1:22" ht="94.5">
      <c r="A78" s="205" t="s">
        <v>1166</v>
      </c>
      <c r="B78" s="511" t="s">
        <v>918</v>
      </c>
      <c r="C78" s="207" t="s">
        <v>919</v>
      </c>
      <c r="D78" s="536">
        <f t="shared" si="1"/>
        <v>0.51718687088666104</v>
      </c>
      <c r="E78" s="557">
        <v>0</v>
      </c>
      <c r="F78" s="532">
        <v>0</v>
      </c>
      <c r="G78" s="537">
        <f t="shared" si="2"/>
        <v>0.51718687088666104</v>
      </c>
      <c r="H78" s="535">
        <f t="shared" ref="H78:I81" si="54">J78+L78+N78+P78</f>
        <v>0.51718687088666104</v>
      </c>
      <c r="I78" s="522">
        <f t="shared" si="54"/>
        <v>0.24237288200000001</v>
      </c>
      <c r="J78" s="522">
        <f>0.517186870886661</f>
        <v>0.51718687088666104</v>
      </c>
      <c r="K78" s="522">
        <f>'10'!J62/1.18</f>
        <v>0</v>
      </c>
      <c r="L78" s="522">
        <v>0</v>
      </c>
      <c r="M78" s="522">
        <f>'10'!L62/1.18</f>
        <v>0</v>
      </c>
      <c r="N78" s="522">
        <v>0</v>
      </c>
      <c r="O78" s="522">
        <v>0</v>
      </c>
      <c r="P78" s="522">
        <f>'10'!O62/1.18</f>
        <v>0</v>
      </c>
      <c r="Q78" s="522">
        <f>0.242372882</f>
        <v>0.24237288200000001</v>
      </c>
      <c r="R78" s="522">
        <f t="shared" si="4"/>
        <v>0</v>
      </c>
      <c r="S78" s="522">
        <f t="shared" si="5"/>
        <v>0.27481398888666103</v>
      </c>
      <c r="T78" s="522">
        <f t="shared" si="6"/>
        <v>0.27481398888666103</v>
      </c>
      <c r="U78" s="564">
        <f t="shared" si="7"/>
        <v>46.863695821295288</v>
      </c>
      <c r="V78" s="598" t="s">
        <v>1192</v>
      </c>
    </row>
    <row r="79" spans="1:22" ht="78.75">
      <c r="A79" s="205" t="s">
        <v>1167</v>
      </c>
      <c r="B79" s="511" t="s">
        <v>920</v>
      </c>
      <c r="C79" s="207" t="s">
        <v>921</v>
      </c>
      <c r="D79" s="536">
        <f t="shared" si="1"/>
        <v>0.41204448504706498</v>
      </c>
      <c r="E79" s="557">
        <v>0</v>
      </c>
      <c r="F79" s="532">
        <v>0</v>
      </c>
      <c r="G79" s="537">
        <f t="shared" si="2"/>
        <v>0.41204448504706498</v>
      </c>
      <c r="H79" s="535">
        <f t="shared" si="54"/>
        <v>0.41204448504706498</v>
      </c>
      <c r="I79" s="535">
        <f t="shared" si="54"/>
        <v>0.39</v>
      </c>
      <c r="J79" s="522">
        <v>0</v>
      </c>
      <c r="K79" s="534">
        <v>0.39</v>
      </c>
      <c r="L79" s="522">
        <v>0</v>
      </c>
      <c r="M79" s="522">
        <v>0</v>
      </c>
      <c r="N79" s="522">
        <v>0</v>
      </c>
      <c r="O79" s="522">
        <v>0</v>
      </c>
      <c r="P79" s="535">
        <f>0.412044485047065</f>
        <v>0.41204448504706498</v>
      </c>
      <c r="Q79" s="522">
        <v>0</v>
      </c>
      <c r="R79" s="522">
        <f t="shared" si="4"/>
        <v>0</v>
      </c>
      <c r="S79" s="522">
        <f>H79-I79</f>
        <v>2.2044485047064966E-2</v>
      </c>
      <c r="T79" s="522">
        <f t="shared" si="6"/>
        <v>2.2044485047064966E-2</v>
      </c>
      <c r="U79" s="564">
        <f t="shared" si="7"/>
        <v>94.649974493762016</v>
      </c>
      <c r="V79" s="598" t="s">
        <v>1192</v>
      </c>
    </row>
    <row r="80" spans="1:22" ht="63">
      <c r="A80" s="205" t="s">
        <v>1168</v>
      </c>
      <c r="B80" s="511" t="s">
        <v>922</v>
      </c>
      <c r="C80" s="207" t="s">
        <v>923</v>
      </c>
      <c r="D80" s="536">
        <f t="shared" si="1"/>
        <v>1.9842542400000001</v>
      </c>
      <c r="E80" s="557">
        <f>0.15138018018/1.18</f>
        <v>0.1282882882881356</v>
      </c>
      <c r="F80" s="532">
        <v>0</v>
      </c>
      <c r="G80" s="537">
        <f t="shared" si="2"/>
        <v>1.9842542400000001</v>
      </c>
      <c r="H80" s="535">
        <f t="shared" si="54"/>
        <v>1.9842542400000001</v>
      </c>
      <c r="I80" s="535">
        <f t="shared" si="54"/>
        <v>1.9842542400000001</v>
      </c>
      <c r="J80" s="522">
        <v>0</v>
      </c>
      <c r="K80" s="534">
        <v>0</v>
      </c>
      <c r="L80" s="522">
        <v>0</v>
      </c>
      <c r="M80" s="522">
        <v>0</v>
      </c>
      <c r="N80" s="522">
        <v>0</v>
      </c>
      <c r="O80" s="522">
        <v>0</v>
      </c>
      <c r="P80" s="535">
        <f>1984254.24/1000000</f>
        <v>1.9842542400000001</v>
      </c>
      <c r="Q80" s="522">
        <f>1984254.24/1000000</f>
        <v>1.9842542400000001</v>
      </c>
      <c r="R80" s="522">
        <f t="shared" ref="R80" si="55">F80</f>
        <v>0</v>
      </c>
      <c r="S80" s="522">
        <f>H80-I80</f>
        <v>0</v>
      </c>
      <c r="T80" s="522">
        <f t="shared" ref="T80" si="56">H80-I80</f>
        <v>0</v>
      </c>
      <c r="U80" s="564">
        <f t="shared" ref="U80" si="57">I80/H80*100</f>
        <v>100</v>
      </c>
      <c r="V80" s="550"/>
    </row>
    <row r="81" spans="1:22" ht="78.75">
      <c r="A81" s="205" t="s">
        <v>1169</v>
      </c>
      <c r="B81" s="511" t="s">
        <v>1089</v>
      </c>
      <c r="C81" s="207" t="s">
        <v>924</v>
      </c>
      <c r="D81" s="536">
        <f t="shared" si="1"/>
        <v>3.5556728813559322</v>
      </c>
      <c r="E81" s="557">
        <f>0.26869981982/1.18</f>
        <v>0.22771171171186444</v>
      </c>
      <c r="F81" s="532">
        <v>0</v>
      </c>
      <c r="G81" s="537">
        <f t="shared" si="2"/>
        <v>3.5556728813559322</v>
      </c>
      <c r="H81" s="535">
        <f t="shared" si="54"/>
        <v>3.5556728813559322</v>
      </c>
      <c r="I81" s="535">
        <f t="shared" si="54"/>
        <v>3.5556728813559322</v>
      </c>
      <c r="J81" s="522">
        <v>0</v>
      </c>
      <c r="K81" s="534">
        <v>0</v>
      </c>
      <c r="L81" s="522">
        <v>0</v>
      </c>
      <c r="M81" s="522">
        <f>'10'!L64/1.18</f>
        <v>0</v>
      </c>
      <c r="N81" s="522">
        <v>0</v>
      </c>
      <c r="O81" s="522">
        <v>0</v>
      </c>
      <c r="P81" s="535">
        <f>4.195694/1.18</f>
        <v>3.5556728813559322</v>
      </c>
      <c r="Q81" s="522">
        <f>4.195694/1.18</f>
        <v>3.5556728813559322</v>
      </c>
      <c r="R81" s="522">
        <f t="shared" si="4"/>
        <v>0</v>
      </c>
      <c r="S81" s="522">
        <f t="shared" si="5"/>
        <v>0</v>
      </c>
      <c r="T81" s="522">
        <f t="shared" si="6"/>
        <v>0</v>
      </c>
      <c r="U81" s="564">
        <f t="shared" si="7"/>
        <v>100</v>
      </c>
      <c r="V81" s="550"/>
    </row>
    <row r="82" spans="1:22" ht="47.25">
      <c r="A82" s="205" t="s">
        <v>1170</v>
      </c>
      <c r="B82" s="511" t="s">
        <v>1069</v>
      </c>
      <c r="C82" s="207" t="s">
        <v>1093</v>
      </c>
      <c r="D82" s="536">
        <f t="shared" si="1"/>
        <v>0</v>
      </c>
      <c r="E82" s="535">
        <f>D82</f>
        <v>0</v>
      </c>
      <c r="F82" s="532">
        <v>0</v>
      </c>
      <c r="G82" s="537">
        <f t="shared" si="2"/>
        <v>0</v>
      </c>
      <c r="H82" s="535">
        <v>0</v>
      </c>
      <c r="I82" s="522">
        <f t="shared" ref="I82" si="58">K82+M82+O82+Q82</f>
        <v>0</v>
      </c>
      <c r="J82" s="522">
        <v>0</v>
      </c>
      <c r="K82" s="522">
        <v>0</v>
      </c>
      <c r="L82" s="522">
        <v>0</v>
      </c>
      <c r="M82" s="522">
        <f>'10'!L65/1.18</f>
        <v>0</v>
      </c>
      <c r="N82" s="522">
        <v>0</v>
      </c>
      <c r="O82" s="522">
        <v>0</v>
      </c>
      <c r="P82" s="522">
        <v>0</v>
      </c>
      <c r="Q82" s="522">
        <v>0</v>
      </c>
      <c r="R82" s="522">
        <f t="shared" si="4"/>
        <v>0</v>
      </c>
      <c r="S82" s="522">
        <f t="shared" si="5"/>
        <v>0</v>
      </c>
      <c r="T82" s="522">
        <f t="shared" si="6"/>
        <v>0</v>
      </c>
      <c r="U82" s="564"/>
      <c r="V82" s="550"/>
    </row>
    <row r="83" spans="1:22" ht="47.25">
      <c r="A83" s="199" t="s">
        <v>925</v>
      </c>
      <c r="B83" s="509" t="s">
        <v>926</v>
      </c>
      <c r="C83" s="236" t="s">
        <v>876</v>
      </c>
      <c r="D83" s="536">
        <f t="shared" si="1"/>
        <v>0</v>
      </c>
      <c r="E83" s="586">
        <v>0</v>
      </c>
      <c r="F83" s="553">
        <v>0</v>
      </c>
      <c r="G83" s="536">
        <f t="shared" si="2"/>
        <v>0</v>
      </c>
      <c r="H83" s="553">
        <v>0</v>
      </c>
      <c r="I83" s="523">
        <v>0</v>
      </c>
      <c r="J83" s="523">
        <v>0</v>
      </c>
      <c r="K83" s="523">
        <v>0</v>
      </c>
      <c r="L83" s="523">
        <v>0</v>
      </c>
      <c r="M83" s="523">
        <v>0</v>
      </c>
      <c r="N83" s="523">
        <v>0</v>
      </c>
      <c r="O83" s="523">
        <v>0</v>
      </c>
      <c r="P83" s="523">
        <v>0</v>
      </c>
      <c r="Q83" s="523">
        <v>0</v>
      </c>
      <c r="R83" s="523">
        <f t="shared" si="4"/>
        <v>0</v>
      </c>
      <c r="S83" s="523">
        <f t="shared" si="5"/>
        <v>0</v>
      </c>
      <c r="T83" s="523">
        <f t="shared" si="6"/>
        <v>0</v>
      </c>
      <c r="U83" s="564"/>
      <c r="V83" s="592">
        <f>'10'!T66</f>
        <v>0</v>
      </c>
    </row>
    <row r="84" spans="1:22" ht="47.25">
      <c r="A84" s="201" t="s">
        <v>842</v>
      </c>
      <c r="B84" s="509" t="s">
        <v>927</v>
      </c>
      <c r="C84" s="236" t="s">
        <v>876</v>
      </c>
      <c r="D84" s="536">
        <f t="shared" si="1"/>
        <v>0</v>
      </c>
      <c r="E84" s="586">
        <v>0</v>
      </c>
      <c r="F84" s="533">
        <v>0</v>
      </c>
      <c r="G84" s="536">
        <f t="shared" si="2"/>
        <v>0</v>
      </c>
      <c r="H84" s="553">
        <v>0</v>
      </c>
      <c r="I84" s="523">
        <f t="shared" ref="I84:Q84" si="59">I85+I86+I87+I88+I89+I90+I91+I92</f>
        <v>0</v>
      </c>
      <c r="J84" s="523">
        <f t="shared" si="59"/>
        <v>0</v>
      </c>
      <c r="K84" s="523">
        <f t="shared" si="59"/>
        <v>0</v>
      </c>
      <c r="L84" s="523">
        <f t="shared" si="59"/>
        <v>0</v>
      </c>
      <c r="M84" s="523">
        <f t="shared" si="59"/>
        <v>0</v>
      </c>
      <c r="N84" s="523">
        <f t="shared" si="59"/>
        <v>0</v>
      </c>
      <c r="O84" s="523">
        <f t="shared" si="59"/>
        <v>0</v>
      </c>
      <c r="P84" s="523">
        <f t="shared" si="59"/>
        <v>0</v>
      </c>
      <c r="Q84" s="523">
        <f t="shared" si="59"/>
        <v>0</v>
      </c>
      <c r="R84" s="523">
        <f t="shared" si="4"/>
        <v>0</v>
      </c>
      <c r="S84" s="523">
        <f t="shared" si="5"/>
        <v>0</v>
      </c>
      <c r="T84" s="523">
        <f t="shared" si="6"/>
        <v>0</v>
      </c>
      <c r="U84" s="564"/>
      <c r="V84" s="592">
        <f>'10'!T67</f>
        <v>0</v>
      </c>
    </row>
    <row r="85" spans="1:22" ht="47.25">
      <c r="A85" s="199" t="s">
        <v>436</v>
      </c>
      <c r="B85" s="509" t="s">
        <v>928</v>
      </c>
      <c r="C85" s="236" t="s">
        <v>876</v>
      </c>
      <c r="D85" s="536">
        <f t="shared" si="1"/>
        <v>0</v>
      </c>
      <c r="E85" s="586">
        <v>0</v>
      </c>
      <c r="F85" s="553">
        <v>0</v>
      </c>
      <c r="G85" s="536">
        <f t="shared" si="2"/>
        <v>0</v>
      </c>
      <c r="H85" s="553">
        <v>0</v>
      </c>
      <c r="I85" s="553">
        <v>0</v>
      </c>
      <c r="J85" s="553">
        <v>0</v>
      </c>
      <c r="K85" s="553">
        <v>0</v>
      </c>
      <c r="L85" s="553">
        <v>0</v>
      </c>
      <c r="M85" s="553">
        <v>0</v>
      </c>
      <c r="N85" s="553">
        <v>0</v>
      </c>
      <c r="O85" s="553">
        <v>0</v>
      </c>
      <c r="P85" s="553">
        <v>0</v>
      </c>
      <c r="Q85" s="553">
        <v>0</v>
      </c>
      <c r="R85" s="523">
        <f t="shared" si="4"/>
        <v>0</v>
      </c>
      <c r="S85" s="523">
        <f t="shared" si="5"/>
        <v>0</v>
      </c>
      <c r="T85" s="523">
        <f t="shared" si="6"/>
        <v>0</v>
      </c>
      <c r="U85" s="564"/>
      <c r="V85" s="592">
        <f>'10'!T68</f>
        <v>0</v>
      </c>
    </row>
    <row r="86" spans="1:22" ht="47.25">
      <c r="A86" s="199" t="s">
        <v>440</v>
      </c>
      <c r="B86" s="509" t="s">
        <v>929</v>
      </c>
      <c r="C86" s="236" t="s">
        <v>876</v>
      </c>
      <c r="D86" s="536">
        <f t="shared" si="1"/>
        <v>0</v>
      </c>
      <c r="E86" s="586">
        <v>0</v>
      </c>
      <c r="F86" s="533">
        <v>0</v>
      </c>
      <c r="G86" s="536">
        <f t="shared" si="2"/>
        <v>0</v>
      </c>
      <c r="H86" s="553">
        <v>0</v>
      </c>
      <c r="I86" s="523">
        <v>0</v>
      </c>
      <c r="J86" s="523">
        <v>0</v>
      </c>
      <c r="K86" s="523">
        <v>0</v>
      </c>
      <c r="L86" s="523">
        <v>0</v>
      </c>
      <c r="M86" s="523">
        <v>0</v>
      </c>
      <c r="N86" s="523">
        <v>0</v>
      </c>
      <c r="O86" s="523">
        <v>0</v>
      </c>
      <c r="P86" s="523">
        <v>0</v>
      </c>
      <c r="Q86" s="523">
        <v>0</v>
      </c>
      <c r="R86" s="523">
        <f t="shared" si="4"/>
        <v>0</v>
      </c>
      <c r="S86" s="523">
        <f t="shared" ref="S86:S110" si="60">H86-I86</f>
        <v>0</v>
      </c>
      <c r="T86" s="523">
        <f t="shared" ref="T86:T110" si="61">H86-I86</f>
        <v>0</v>
      </c>
      <c r="U86" s="564"/>
      <c r="V86" s="592">
        <f>'10'!T69</f>
        <v>0</v>
      </c>
    </row>
    <row r="87" spans="1:22" ht="31.5">
      <c r="A87" s="199" t="s">
        <v>441</v>
      </c>
      <c r="B87" s="509" t="s">
        <v>930</v>
      </c>
      <c r="C87" s="236" t="s">
        <v>876</v>
      </c>
      <c r="D87" s="536">
        <f t="shared" ref="D87:D111" si="62">H87</f>
        <v>0</v>
      </c>
      <c r="E87" s="586">
        <v>0</v>
      </c>
      <c r="F87" s="533">
        <v>0</v>
      </c>
      <c r="G87" s="536">
        <f t="shared" ref="G87:G111" si="63">H87</f>
        <v>0</v>
      </c>
      <c r="H87" s="553">
        <v>0</v>
      </c>
      <c r="I87" s="523">
        <v>0</v>
      </c>
      <c r="J87" s="523">
        <v>0</v>
      </c>
      <c r="K87" s="523">
        <v>0</v>
      </c>
      <c r="L87" s="523">
        <v>0</v>
      </c>
      <c r="M87" s="523">
        <v>0</v>
      </c>
      <c r="N87" s="523">
        <v>0</v>
      </c>
      <c r="O87" s="523">
        <v>0</v>
      </c>
      <c r="P87" s="523">
        <v>0</v>
      </c>
      <c r="Q87" s="523">
        <v>0</v>
      </c>
      <c r="R87" s="523">
        <f t="shared" si="4"/>
        <v>0</v>
      </c>
      <c r="S87" s="523">
        <f t="shared" si="60"/>
        <v>0</v>
      </c>
      <c r="T87" s="523">
        <f t="shared" si="61"/>
        <v>0</v>
      </c>
      <c r="U87" s="564"/>
      <c r="V87" s="592">
        <f>'10'!T70</f>
        <v>0</v>
      </c>
    </row>
    <row r="88" spans="1:22" ht="47.25">
      <c r="A88" s="199" t="s">
        <v>442</v>
      </c>
      <c r="B88" s="509" t="s">
        <v>931</v>
      </c>
      <c r="C88" s="236" t="s">
        <v>876</v>
      </c>
      <c r="D88" s="536">
        <f t="shared" si="62"/>
        <v>0</v>
      </c>
      <c r="E88" s="586">
        <v>0</v>
      </c>
      <c r="F88" s="533">
        <v>0</v>
      </c>
      <c r="G88" s="536">
        <f t="shared" si="63"/>
        <v>0</v>
      </c>
      <c r="H88" s="553">
        <v>0</v>
      </c>
      <c r="I88" s="523">
        <v>0</v>
      </c>
      <c r="J88" s="523">
        <v>0</v>
      </c>
      <c r="K88" s="523">
        <v>0</v>
      </c>
      <c r="L88" s="523">
        <v>0</v>
      </c>
      <c r="M88" s="523">
        <v>0</v>
      </c>
      <c r="N88" s="523">
        <v>0</v>
      </c>
      <c r="O88" s="523">
        <v>0</v>
      </c>
      <c r="P88" s="523">
        <v>0</v>
      </c>
      <c r="Q88" s="523">
        <v>0</v>
      </c>
      <c r="R88" s="523">
        <f t="shared" si="4"/>
        <v>0</v>
      </c>
      <c r="S88" s="523">
        <f t="shared" si="60"/>
        <v>0</v>
      </c>
      <c r="T88" s="523">
        <f t="shared" si="61"/>
        <v>0</v>
      </c>
      <c r="U88" s="564"/>
      <c r="V88" s="592">
        <f>'10'!T71</f>
        <v>0</v>
      </c>
    </row>
    <row r="89" spans="1:22" ht="63">
      <c r="A89" s="199" t="s">
        <v>443</v>
      </c>
      <c r="B89" s="509" t="s">
        <v>932</v>
      </c>
      <c r="C89" s="236" t="s">
        <v>876</v>
      </c>
      <c r="D89" s="536">
        <f t="shared" si="62"/>
        <v>0</v>
      </c>
      <c r="E89" s="586">
        <v>0</v>
      </c>
      <c r="F89" s="533">
        <v>0</v>
      </c>
      <c r="G89" s="536">
        <f t="shared" si="63"/>
        <v>0</v>
      </c>
      <c r="H89" s="553">
        <v>0</v>
      </c>
      <c r="I89" s="523">
        <v>0</v>
      </c>
      <c r="J89" s="523">
        <v>0</v>
      </c>
      <c r="K89" s="523">
        <v>0</v>
      </c>
      <c r="L89" s="523">
        <v>0</v>
      </c>
      <c r="M89" s="523">
        <v>0</v>
      </c>
      <c r="N89" s="523">
        <v>0</v>
      </c>
      <c r="O89" s="523">
        <v>0</v>
      </c>
      <c r="P89" s="523">
        <v>0</v>
      </c>
      <c r="Q89" s="523">
        <v>0</v>
      </c>
      <c r="R89" s="523">
        <f t="shared" si="4"/>
        <v>0</v>
      </c>
      <c r="S89" s="523">
        <f t="shared" si="60"/>
        <v>0</v>
      </c>
      <c r="T89" s="523">
        <f t="shared" si="61"/>
        <v>0</v>
      </c>
      <c r="U89" s="564"/>
      <c r="V89" s="592">
        <f>'10'!T72</f>
        <v>0</v>
      </c>
    </row>
    <row r="90" spans="1:22" ht="63">
      <c r="A90" s="199" t="s">
        <v>444</v>
      </c>
      <c r="B90" s="509" t="s">
        <v>933</v>
      </c>
      <c r="C90" s="236" t="s">
        <v>876</v>
      </c>
      <c r="D90" s="536">
        <f t="shared" si="62"/>
        <v>0</v>
      </c>
      <c r="E90" s="586">
        <v>0</v>
      </c>
      <c r="F90" s="533">
        <v>0</v>
      </c>
      <c r="G90" s="536">
        <f t="shared" si="63"/>
        <v>0</v>
      </c>
      <c r="H90" s="553">
        <v>0</v>
      </c>
      <c r="I90" s="523">
        <v>0</v>
      </c>
      <c r="J90" s="523">
        <v>0</v>
      </c>
      <c r="K90" s="523">
        <v>0</v>
      </c>
      <c r="L90" s="523">
        <v>0</v>
      </c>
      <c r="M90" s="523">
        <v>0</v>
      </c>
      <c r="N90" s="523">
        <v>0</v>
      </c>
      <c r="O90" s="523">
        <v>0</v>
      </c>
      <c r="P90" s="523">
        <v>0</v>
      </c>
      <c r="Q90" s="523">
        <v>0</v>
      </c>
      <c r="R90" s="523">
        <f t="shared" si="4"/>
        <v>0</v>
      </c>
      <c r="S90" s="523">
        <f t="shared" si="60"/>
        <v>0</v>
      </c>
      <c r="T90" s="523">
        <f t="shared" si="61"/>
        <v>0</v>
      </c>
      <c r="U90" s="564"/>
      <c r="V90" s="592">
        <f>'10'!T73</f>
        <v>0</v>
      </c>
    </row>
    <row r="91" spans="1:22" ht="47.25">
      <c r="A91" s="199" t="s">
        <v>445</v>
      </c>
      <c r="B91" s="509" t="s">
        <v>934</v>
      </c>
      <c r="C91" s="236" t="s">
        <v>876</v>
      </c>
      <c r="D91" s="536">
        <f t="shared" si="62"/>
        <v>0</v>
      </c>
      <c r="E91" s="586">
        <v>0</v>
      </c>
      <c r="F91" s="533">
        <v>0</v>
      </c>
      <c r="G91" s="536">
        <f t="shared" si="63"/>
        <v>0</v>
      </c>
      <c r="H91" s="553">
        <v>0</v>
      </c>
      <c r="I91" s="523">
        <v>0</v>
      </c>
      <c r="J91" s="523">
        <v>0</v>
      </c>
      <c r="K91" s="523">
        <v>0</v>
      </c>
      <c r="L91" s="523">
        <v>0</v>
      </c>
      <c r="M91" s="523">
        <v>0</v>
      </c>
      <c r="N91" s="523">
        <v>0</v>
      </c>
      <c r="O91" s="523">
        <v>0</v>
      </c>
      <c r="P91" s="523">
        <v>0</v>
      </c>
      <c r="Q91" s="523">
        <v>0</v>
      </c>
      <c r="R91" s="523">
        <f t="shared" si="4"/>
        <v>0</v>
      </c>
      <c r="S91" s="523">
        <f t="shared" si="60"/>
        <v>0</v>
      </c>
      <c r="T91" s="523">
        <f t="shared" si="61"/>
        <v>0</v>
      </c>
      <c r="U91" s="564"/>
      <c r="V91" s="592">
        <f>'10'!T74</f>
        <v>0</v>
      </c>
    </row>
    <row r="92" spans="1:22" ht="63">
      <c r="A92" s="199" t="s">
        <v>935</v>
      </c>
      <c r="B92" s="509" t="s">
        <v>936</v>
      </c>
      <c r="C92" s="236" t="s">
        <v>876</v>
      </c>
      <c r="D92" s="536">
        <f t="shared" si="62"/>
        <v>0</v>
      </c>
      <c r="E92" s="586">
        <v>0</v>
      </c>
      <c r="F92" s="533">
        <v>0</v>
      </c>
      <c r="G92" s="536">
        <f t="shared" si="63"/>
        <v>0</v>
      </c>
      <c r="H92" s="553">
        <v>0</v>
      </c>
      <c r="I92" s="523">
        <v>0</v>
      </c>
      <c r="J92" s="523">
        <v>0</v>
      </c>
      <c r="K92" s="523">
        <v>0</v>
      </c>
      <c r="L92" s="523">
        <v>0</v>
      </c>
      <c r="M92" s="523">
        <v>0</v>
      </c>
      <c r="N92" s="523">
        <v>0</v>
      </c>
      <c r="O92" s="523">
        <v>0</v>
      </c>
      <c r="P92" s="523">
        <v>0</v>
      </c>
      <c r="Q92" s="523">
        <v>0</v>
      </c>
      <c r="R92" s="523">
        <f t="shared" si="4"/>
        <v>0</v>
      </c>
      <c r="S92" s="523">
        <f t="shared" si="60"/>
        <v>0</v>
      </c>
      <c r="T92" s="523">
        <f t="shared" si="61"/>
        <v>0</v>
      </c>
      <c r="U92" s="564"/>
      <c r="V92" s="592">
        <f>'10'!T75</f>
        <v>0</v>
      </c>
    </row>
    <row r="93" spans="1:22" ht="63">
      <c r="A93" s="201" t="s">
        <v>937</v>
      </c>
      <c r="B93" s="509" t="s">
        <v>938</v>
      </c>
      <c r="C93" s="236" t="s">
        <v>876</v>
      </c>
      <c r="D93" s="536">
        <f t="shared" si="62"/>
        <v>0</v>
      </c>
      <c r="E93" s="586">
        <v>0</v>
      </c>
      <c r="F93" s="553">
        <v>0</v>
      </c>
      <c r="G93" s="536">
        <f t="shared" si="63"/>
        <v>0</v>
      </c>
      <c r="H93" s="553">
        <v>0</v>
      </c>
      <c r="I93" s="523">
        <f t="shared" ref="I93:Q93" si="64">I94+I95</f>
        <v>0</v>
      </c>
      <c r="J93" s="523">
        <f t="shared" si="64"/>
        <v>0</v>
      </c>
      <c r="K93" s="523">
        <f t="shared" si="64"/>
        <v>0</v>
      </c>
      <c r="L93" s="523">
        <f t="shared" si="64"/>
        <v>0</v>
      </c>
      <c r="M93" s="523">
        <f t="shared" si="64"/>
        <v>0</v>
      </c>
      <c r="N93" s="523">
        <f t="shared" si="64"/>
        <v>0</v>
      </c>
      <c r="O93" s="523">
        <f t="shared" si="64"/>
        <v>0</v>
      </c>
      <c r="P93" s="523">
        <f t="shared" si="64"/>
        <v>0</v>
      </c>
      <c r="Q93" s="523">
        <f t="shared" si="64"/>
        <v>0</v>
      </c>
      <c r="R93" s="523">
        <f t="shared" si="4"/>
        <v>0</v>
      </c>
      <c r="S93" s="523">
        <f t="shared" si="60"/>
        <v>0</v>
      </c>
      <c r="T93" s="523">
        <f t="shared" si="61"/>
        <v>0</v>
      </c>
      <c r="U93" s="564"/>
      <c r="V93" s="592">
        <f>'10'!T76</f>
        <v>0</v>
      </c>
    </row>
    <row r="94" spans="1:22" ht="31.5">
      <c r="A94" s="199" t="s">
        <v>939</v>
      </c>
      <c r="B94" s="509" t="s">
        <v>940</v>
      </c>
      <c r="C94" s="236" t="s">
        <v>876</v>
      </c>
      <c r="D94" s="536">
        <f t="shared" si="62"/>
        <v>0</v>
      </c>
      <c r="E94" s="586">
        <v>0</v>
      </c>
      <c r="F94" s="553">
        <v>0</v>
      </c>
      <c r="G94" s="536">
        <f t="shared" si="63"/>
        <v>0</v>
      </c>
      <c r="H94" s="553">
        <v>0</v>
      </c>
      <c r="I94" s="553">
        <v>0</v>
      </c>
      <c r="J94" s="553">
        <v>0</v>
      </c>
      <c r="K94" s="553">
        <v>0</v>
      </c>
      <c r="L94" s="553">
        <v>0</v>
      </c>
      <c r="M94" s="553">
        <v>0</v>
      </c>
      <c r="N94" s="553">
        <v>0</v>
      </c>
      <c r="O94" s="553">
        <v>0</v>
      </c>
      <c r="P94" s="553">
        <v>0</v>
      </c>
      <c r="Q94" s="553">
        <v>0</v>
      </c>
      <c r="R94" s="523">
        <f t="shared" si="4"/>
        <v>0</v>
      </c>
      <c r="S94" s="523">
        <f t="shared" si="60"/>
        <v>0</v>
      </c>
      <c r="T94" s="523">
        <f t="shared" si="61"/>
        <v>0</v>
      </c>
      <c r="U94" s="564"/>
      <c r="V94" s="592">
        <f>'10'!T77</f>
        <v>0</v>
      </c>
    </row>
    <row r="95" spans="1:22" ht="47.25">
      <c r="A95" s="199" t="s">
        <v>941</v>
      </c>
      <c r="B95" s="509" t="s">
        <v>942</v>
      </c>
      <c r="C95" s="236" t="s">
        <v>876</v>
      </c>
      <c r="D95" s="536">
        <f t="shared" si="62"/>
        <v>0</v>
      </c>
      <c r="E95" s="586">
        <v>0</v>
      </c>
      <c r="F95" s="553">
        <v>0</v>
      </c>
      <c r="G95" s="536">
        <f t="shared" si="63"/>
        <v>0</v>
      </c>
      <c r="H95" s="553">
        <v>0</v>
      </c>
      <c r="I95" s="523">
        <v>0</v>
      </c>
      <c r="J95" s="523">
        <v>0</v>
      </c>
      <c r="K95" s="523">
        <v>0</v>
      </c>
      <c r="L95" s="523">
        <v>0</v>
      </c>
      <c r="M95" s="523">
        <v>0</v>
      </c>
      <c r="N95" s="523">
        <v>0</v>
      </c>
      <c r="O95" s="523">
        <v>0</v>
      </c>
      <c r="P95" s="523">
        <v>0</v>
      </c>
      <c r="Q95" s="523">
        <v>0</v>
      </c>
      <c r="R95" s="523">
        <f t="shared" si="4"/>
        <v>0</v>
      </c>
      <c r="S95" s="523">
        <f t="shared" si="60"/>
        <v>0</v>
      </c>
      <c r="T95" s="523">
        <f t="shared" si="61"/>
        <v>0</v>
      </c>
      <c r="U95" s="564"/>
      <c r="V95" s="592">
        <f>'10'!T78</f>
        <v>0</v>
      </c>
    </row>
    <row r="96" spans="1:22" ht="110.25">
      <c r="A96" s="201" t="s">
        <v>943</v>
      </c>
      <c r="B96" s="509" t="s">
        <v>944</v>
      </c>
      <c r="C96" s="236" t="s">
        <v>876</v>
      </c>
      <c r="D96" s="536">
        <f t="shared" si="62"/>
        <v>0</v>
      </c>
      <c r="E96" s="586">
        <v>0</v>
      </c>
      <c r="F96" s="553">
        <v>0</v>
      </c>
      <c r="G96" s="536">
        <f t="shared" si="63"/>
        <v>0</v>
      </c>
      <c r="H96" s="553">
        <v>0</v>
      </c>
      <c r="I96" s="523">
        <f t="shared" ref="I96:Q96" si="65">I97+I98</f>
        <v>0</v>
      </c>
      <c r="J96" s="523">
        <f t="shared" si="65"/>
        <v>0</v>
      </c>
      <c r="K96" s="523">
        <f t="shared" si="65"/>
        <v>0</v>
      </c>
      <c r="L96" s="523">
        <f t="shared" si="65"/>
        <v>0</v>
      </c>
      <c r="M96" s="523">
        <f t="shared" si="65"/>
        <v>0</v>
      </c>
      <c r="N96" s="523">
        <f t="shared" si="65"/>
        <v>0</v>
      </c>
      <c r="O96" s="523">
        <f t="shared" si="65"/>
        <v>0</v>
      </c>
      <c r="P96" s="523">
        <f t="shared" si="65"/>
        <v>0</v>
      </c>
      <c r="Q96" s="523">
        <f t="shared" si="65"/>
        <v>0</v>
      </c>
      <c r="R96" s="523">
        <f t="shared" ref="R96:R110" si="66">F96</f>
        <v>0</v>
      </c>
      <c r="S96" s="523">
        <f t="shared" si="60"/>
        <v>0</v>
      </c>
      <c r="T96" s="523">
        <f t="shared" si="61"/>
        <v>0</v>
      </c>
      <c r="U96" s="564"/>
      <c r="V96" s="592">
        <f>'10'!T79</f>
        <v>0</v>
      </c>
    </row>
    <row r="97" spans="1:22" ht="63">
      <c r="A97" s="201" t="s">
        <v>945</v>
      </c>
      <c r="B97" s="509" t="s">
        <v>946</v>
      </c>
      <c r="C97" s="236" t="s">
        <v>876</v>
      </c>
      <c r="D97" s="536">
        <f t="shared" si="62"/>
        <v>0</v>
      </c>
      <c r="E97" s="586">
        <v>0</v>
      </c>
      <c r="F97" s="553">
        <v>0</v>
      </c>
      <c r="G97" s="536">
        <f t="shared" si="63"/>
        <v>0</v>
      </c>
      <c r="H97" s="553">
        <v>0</v>
      </c>
      <c r="I97" s="523">
        <v>0</v>
      </c>
      <c r="J97" s="523">
        <v>0</v>
      </c>
      <c r="K97" s="523">
        <v>0</v>
      </c>
      <c r="L97" s="523">
        <v>0</v>
      </c>
      <c r="M97" s="523">
        <v>0</v>
      </c>
      <c r="N97" s="523">
        <v>0</v>
      </c>
      <c r="O97" s="523">
        <v>0</v>
      </c>
      <c r="P97" s="523">
        <v>0</v>
      </c>
      <c r="Q97" s="523">
        <v>0</v>
      </c>
      <c r="R97" s="523">
        <f t="shared" si="66"/>
        <v>0</v>
      </c>
      <c r="S97" s="523">
        <f t="shared" si="60"/>
        <v>0</v>
      </c>
      <c r="T97" s="523">
        <f t="shared" si="61"/>
        <v>0</v>
      </c>
      <c r="U97" s="564"/>
      <c r="V97" s="592">
        <f>'10'!T80</f>
        <v>0</v>
      </c>
    </row>
    <row r="98" spans="1:22" ht="63">
      <c r="A98" s="201" t="s">
        <v>947</v>
      </c>
      <c r="B98" s="509" t="s">
        <v>948</v>
      </c>
      <c r="C98" s="236" t="s">
        <v>876</v>
      </c>
      <c r="D98" s="536">
        <f t="shared" si="62"/>
        <v>0</v>
      </c>
      <c r="E98" s="586">
        <v>0</v>
      </c>
      <c r="F98" s="553">
        <v>0</v>
      </c>
      <c r="G98" s="536">
        <f t="shared" si="63"/>
        <v>0</v>
      </c>
      <c r="H98" s="553">
        <v>0</v>
      </c>
      <c r="I98" s="523">
        <v>0</v>
      </c>
      <c r="J98" s="523">
        <v>0</v>
      </c>
      <c r="K98" s="523">
        <v>0</v>
      </c>
      <c r="L98" s="523">
        <v>0</v>
      </c>
      <c r="M98" s="523">
        <v>0</v>
      </c>
      <c r="N98" s="523">
        <v>0</v>
      </c>
      <c r="O98" s="523">
        <v>0</v>
      </c>
      <c r="P98" s="523">
        <v>0</v>
      </c>
      <c r="Q98" s="523">
        <v>0</v>
      </c>
      <c r="R98" s="523">
        <f t="shared" si="66"/>
        <v>0</v>
      </c>
      <c r="S98" s="523">
        <f t="shared" si="60"/>
        <v>0</v>
      </c>
      <c r="T98" s="523">
        <f t="shared" si="61"/>
        <v>0</v>
      </c>
      <c r="U98" s="564"/>
      <c r="V98" s="592">
        <f>'10'!T81</f>
        <v>0</v>
      </c>
    </row>
    <row r="99" spans="1:22" ht="31.5">
      <c r="A99" s="201" t="s">
        <v>949</v>
      </c>
      <c r="B99" s="509" t="s">
        <v>884</v>
      </c>
      <c r="C99" s="236" t="s">
        <v>876</v>
      </c>
      <c r="D99" s="536">
        <f t="shared" si="62"/>
        <v>0</v>
      </c>
      <c r="E99" s="523">
        <f>SUM(E100:E101)</f>
        <v>1.94279</v>
      </c>
      <c r="F99" s="553">
        <v>0</v>
      </c>
      <c r="G99" s="536">
        <f t="shared" si="63"/>
        <v>0</v>
      </c>
      <c r="H99" s="553">
        <v>0</v>
      </c>
      <c r="I99" s="523">
        <f>SUM(I100:I101)</f>
        <v>0</v>
      </c>
      <c r="J99" s="523">
        <f t="shared" ref="J99:Q99" si="67">SUM(J100:J101)</f>
        <v>0</v>
      </c>
      <c r="K99" s="523">
        <f t="shared" si="67"/>
        <v>0</v>
      </c>
      <c r="L99" s="523">
        <f t="shared" si="67"/>
        <v>0</v>
      </c>
      <c r="M99" s="523">
        <f t="shared" si="67"/>
        <v>0</v>
      </c>
      <c r="N99" s="523">
        <f t="shared" si="67"/>
        <v>0</v>
      </c>
      <c r="O99" s="523">
        <f t="shared" si="67"/>
        <v>0</v>
      </c>
      <c r="P99" s="523">
        <f t="shared" si="67"/>
        <v>0</v>
      </c>
      <c r="Q99" s="523">
        <f t="shared" si="67"/>
        <v>0</v>
      </c>
      <c r="R99" s="523">
        <f t="shared" si="66"/>
        <v>0</v>
      </c>
      <c r="S99" s="523">
        <f t="shared" si="60"/>
        <v>0</v>
      </c>
      <c r="T99" s="523">
        <f t="shared" si="61"/>
        <v>0</v>
      </c>
      <c r="U99" s="564"/>
      <c r="V99" s="592">
        <f>'10'!T82</f>
        <v>0</v>
      </c>
    </row>
    <row r="100" spans="1:22" ht="47.25">
      <c r="A100" s="208" t="s">
        <v>843</v>
      </c>
      <c r="B100" s="209" t="s">
        <v>1072</v>
      </c>
      <c r="C100" s="210" t="s">
        <v>1088</v>
      </c>
      <c r="D100" s="536">
        <f t="shared" si="62"/>
        <v>0</v>
      </c>
      <c r="E100" s="535">
        <v>0.95099999999999996</v>
      </c>
      <c r="F100" s="535">
        <v>0</v>
      </c>
      <c r="G100" s="537">
        <f t="shared" si="63"/>
        <v>0</v>
      </c>
      <c r="H100" s="535">
        <v>0</v>
      </c>
      <c r="I100" s="522">
        <f>K100+M100+O100+Q100</f>
        <v>0</v>
      </c>
      <c r="J100" s="522">
        <v>0</v>
      </c>
      <c r="K100" s="522">
        <v>0</v>
      </c>
      <c r="L100" s="522">
        <v>0</v>
      </c>
      <c r="M100" s="522">
        <f>'10'!L83/1.18</f>
        <v>0</v>
      </c>
      <c r="N100" s="522">
        <v>0</v>
      </c>
      <c r="O100" s="522">
        <v>0</v>
      </c>
      <c r="P100" s="522">
        <v>0</v>
      </c>
      <c r="Q100" s="522">
        <v>0</v>
      </c>
      <c r="R100" s="522">
        <f t="shared" si="66"/>
        <v>0</v>
      </c>
      <c r="S100" s="522">
        <f t="shared" si="60"/>
        <v>0</v>
      </c>
      <c r="T100" s="522">
        <f t="shared" si="61"/>
        <v>0</v>
      </c>
      <c r="U100" s="564"/>
      <c r="V100" s="550" t="s">
        <v>1193</v>
      </c>
    </row>
    <row r="101" spans="1:22" ht="47.25">
      <c r="A101" s="208" t="s">
        <v>844</v>
      </c>
      <c r="B101" s="209" t="s">
        <v>1073</v>
      </c>
      <c r="C101" s="210" t="s">
        <v>1087</v>
      </c>
      <c r="D101" s="536">
        <f t="shared" si="62"/>
        <v>0</v>
      </c>
      <c r="E101" s="535">
        <v>0.99178999999999995</v>
      </c>
      <c r="F101" s="535">
        <v>0</v>
      </c>
      <c r="G101" s="537">
        <f t="shared" si="63"/>
        <v>0</v>
      </c>
      <c r="H101" s="535">
        <v>0</v>
      </c>
      <c r="I101" s="522">
        <f>K101+M101+O101+Q101</f>
        <v>0</v>
      </c>
      <c r="J101" s="522">
        <v>0</v>
      </c>
      <c r="K101" s="522">
        <v>0</v>
      </c>
      <c r="L101" s="522">
        <v>0</v>
      </c>
      <c r="M101" s="522">
        <f>'10'!L84/1.18</f>
        <v>0</v>
      </c>
      <c r="N101" s="522">
        <v>0</v>
      </c>
      <c r="O101" s="522">
        <v>0</v>
      </c>
      <c r="P101" s="522">
        <v>0</v>
      </c>
      <c r="Q101" s="522">
        <v>0</v>
      </c>
      <c r="R101" s="522">
        <f t="shared" si="66"/>
        <v>0</v>
      </c>
      <c r="S101" s="522">
        <f t="shared" si="60"/>
        <v>0</v>
      </c>
      <c r="T101" s="522">
        <f t="shared" si="61"/>
        <v>0</v>
      </c>
      <c r="U101" s="564"/>
      <c r="V101" s="550" t="s">
        <v>1193</v>
      </c>
    </row>
    <row r="102" spans="1:22" ht="47.25">
      <c r="A102" s="201" t="s">
        <v>950</v>
      </c>
      <c r="B102" s="509" t="s">
        <v>951</v>
      </c>
      <c r="C102" s="236" t="s">
        <v>876</v>
      </c>
      <c r="D102" s="536">
        <f t="shared" si="62"/>
        <v>0</v>
      </c>
      <c r="E102" s="586">
        <v>0</v>
      </c>
      <c r="F102" s="553">
        <v>0</v>
      </c>
      <c r="G102" s="536">
        <f t="shared" si="63"/>
        <v>0</v>
      </c>
      <c r="H102" s="553">
        <v>0</v>
      </c>
      <c r="I102" s="523">
        <v>0</v>
      </c>
      <c r="J102" s="523">
        <v>0</v>
      </c>
      <c r="K102" s="523">
        <v>0</v>
      </c>
      <c r="L102" s="523">
        <v>0</v>
      </c>
      <c r="M102" s="523">
        <v>0</v>
      </c>
      <c r="N102" s="523">
        <v>0</v>
      </c>
      <c r="O102" s="523">
        <v>0</v>
      </c>
      <c r="P102" s="523">
        <v>0</v>
      </c>
      <c r="Q102" s="523">
        <v>0</v>
      </c>
      <c r="R102" s="523">
        <f t="shared" si="66"/>
        <v>0</v>
      </c>
      <c r="S102" s="523">
        <f t="shared" si="60"/>
        <v>0</v>
      </c>
      <c r="T102" s="523">
        <f t="shared" si="61"/>
        <v>0</v>
      </c>
      <c r="U102" s="564"/>
      <c r="V102" s="569">
        <f>'10'!T85</f>
        <v>0</v>
      </c>
    </row>
    <row r="103" spans="1:22" ht="31.5">
      <c r="A103" s="201" t="s">
        <v>952</v>
      </c>
      <c r="B103" s="509" t="s">
        <v>953</v>
      </c>
      <c r="C103" s="236" t="s">
        <v>876</v>
      </c>
      <c r="D103" s="536">
        <f t="shared" si="62"/>
        <v>8.5708555211864415</v>
      </c>
      <c r="E103" s="586">
        <f>E104</f>
        <v>7.5438153898305087</v>
      </c>
      <c r="F103" s="536">
        <v>0</v>
      </c>
      <c r="G103" s="536">
        <f t="shared" si="63"/>
        <v>8.5708555211864415</v>
      </c>
      <c r="H103" s="536">
        <v>8.5708555211864415</v>
      </c>
      <c r="I103" s="523">
        <f>I104</f>
        <v>8.5708555211864415</v>
      </c>
      <c r="J103" s="523">
        <f t="shared" ref="J103:R103" si="68">J104</f>
        <v>3.405021434745763</v>
      </c>
      <c r="K103" s="523">
        <f t="shared" si="68"/>
        <v>3.1707570279661019</v>
      </c>
      <c r="L103" s="523">
        <f t="shared" si="68"/>
        <v>2.4982417711864411</v>
      </c>
      <c r="M103" s="523">
        <f t="shared" si="68"/>
        <v>2.26397736440678</v>
      </c>
      <c r="N103" s="523">
        <f t="shared" si="68"/>
        <v>1.6459848154237289</v>
      </c>
      <c r="O103" s="523">
        <f t="shared" si="68"/>
        <v>1.3699095677966102</v>
      </c>
      <c r="P103" s="523">
        <f t="shared" si="68"/>
        <v>1.0008474576271187</v>
      </c>
      <c r="Q103" s="523">
        <f t="shared" si="68"/>
        <v>0.76694915254237284</v>
      </c>
      <c r="R103" s="523">
        <f t="shared" si="68"/>
        <v>0</v>
      </c>
      <c r="S103" s="523">
        <f t="shared" si="60"/>
        <v>0</v>
      </c>
      <c r="T103" s="523">
        <f t="shared" si="61"/>
        <v>0</v>
      </c>
      <c r="U103" s="564">
        <f t="shared" ref="U103:U110" si="69">I103/H103*100</f>
        <v>100</v>
      </c>
      <c r="V103" s="569" t="e">
        <f>'10'!#REF!</f>
        <v>#REF!</v>
      </c>
    </row>
    <row r="104" spans="1:22">
      <c r="A104" s="201" t="s">
        <v>952</v>
      </c>
      <c r="B104" s="509" t="s">
        <v>954</v>
      </c>
      <c r="C104" s="236" t="s">
        <v>876</v>
      </c>
      <c r="D104" s="536">
        <f t="shared" si="62"/>
        <v>8.5708555211864397</v>
      </c>
      <c r="E104" s="586">
        <f>E105+E107+E108+E109+E110</f>
        <v>7.5438153898305087</v>
      </c>
      <c r="F104" s="553">
        <v>0</v>
      </c>
      <c r="G104" s="536">
        <f t="shared" si="63"/>
        <v>8.5708555211864397</v>
      </c>
      <c r="H104" s="553">
        <v>8.5708555211864397</v>
      </c>
      <c r="I104" s="523">
        <f>I105+I106</f>
        <v>8.5708555211864415</v>
      </c>
      <c r="J104" s="523">
        <f t="shared" ref="J104:Q104" si="70">J105+J106</f>
        <v>3.405021434745763</v>
      </c>
      <c r="K104" s="523">
        <f t="shared" si="70"/>
        <v>3.1707570279661019</v>
      </c>
      <c r="L104" s="523">
        <f t="shared" si="70"/>
        <v>2.4982417711864411</v>
      </c>
      <c r="M104" s="523">
        <f>M105+M106</f>
        <v>2.26397736440678</v>
      </c>
      <c r="N104" s="523">
        <f t="shared" si="70"/>
        <v>1.6459848154237289</v>
      </c>
      <c r="O104" s="523">
        <f t="shared" si="70"/>
        <v>1.3699095677966102</v>
      </c>
      <c r="P104" s="523">
        <f t="shared" si="70"/>
        <v>1.0008474576271187</v>
      </c>
      <c r="Q104" s="523">
        <f t="shared" si="70"/>
        <v>0.76694915254237284</v>
      </c>
      <c r="R104" s="523">
        <f t="shared" si="66"/>
        <v>0</v>
      </c>
      <c r="S104" s="523">
        <f t="shared" si="60"/>
        <v>0</v>
      </c>
      <c r="T104" s="523">
        <f t="shared" si="61"/>
        <v>0</v>
      </c>
      <c r="U104" s="564">
        <f t="shared" si="69"/>
        <v>100.00000000000003</v>
      </c>
      <c r="V104" s="569">
        <f>'10'!T86</f>
        <v>0</v>
      </c>
    </row>
    <row r="105" spans="1:22" ht="47.25">
      <c r="A105" s="205" t="s">
        <v>955</v>
      </c>
      <c r="B105" s="510" t="s">
        <v>956</v>
      </c>
      <c r="C105" s="207" t="s">
        <v>957</v>
      </c>
      <c r="D105" s="536">
        <f t="shared" si="62"/>
        <v>0.76515382627118655</v>
      </c>
      <c r="E105" s="535">
        <f>3.45/1.18+0.09072518/1.18*12</f>
        <v>3.8463577627118646</v>
      </c>
      <c r="F105" s="532">
        <v>0</v>
      </c>
      <c r="G105" s="537">
        <f t="shared" si="63"/>
        <v>0.76515382627118655</v>
      </c>
      <c r="H105" s="535">
        <v>0.76515382627118655</v>
      </c>
      <c r="I105" s="522">
        <f>H105</f>
        <v>0.76515382627118655</v>
      </c>
      <c r="J105" s="522">
        <f>'10'!I87/1.18</f>
        <v>0.23431634999999998</v>
      </c>
      <c r="K105" s="522">
        <f>'10'!J87/1.18</f>
        <v>0.23431634999999998</v>
      </c>
      <c r="L105" s="522">
        <f>'10'!K87/1.18</f>
        <v>0.23431634745762714</v>
      </c>
      <c r="M105" s="522">
        <f>'10'!L87/1.18</f>
        <v>0.23431634745762714</v>
      </c>
      <c r="N105" s="522">
        <f>'10'!L87</f>
        <v>0.27649329</v>
      </c>
      <c r="O105" s="522">
        <f>'10'!N87/1.18</f>
        <v>0.23431634745762714</v>
      </c>
      <c r="P105" s="522">
        <f>'10'!O87/1.18</f>
        <v>0</v>
      </c>
      <c r="Q105" s="522">
        <v>0</v>
      </c>
      <c r="R105" s="522">
        <f t="shared" si="66"/>
        <v>0</v>
      </c>
      <c r="S105" s="522">
        <f t="shared" si="60"/>
        <v>0</v>
      </c>
      <c r="T105" s="522">
        <f t="shared" si="61"/>
        <v>0</v>
      </c>
      <c r="U105" s="564">
        <f t="shared" si="69"/>
        <v>100</v>
      </c>
      <c r="V105" s="570"/>
    </row>
    <row r="106" spans="1:22" ht="31.5">
      <c r="A106" s="205" t="s">
        <v>958</v>
      </c>
      <c r="B106" s="510" t="s">
        <v>959</v>
      </c>
      <c r="C106" s="207" t="s">
        <v>876</v>
      </c>
      <c r="D106" s="536">
        <f t="shared" si="62"/>
        <v>7.8057016949152542</v>
      </c>
      <c r="E106" s="531" t="s">
        <v>876</v>
      </c>
      <c r="F106" s="535">
        <v>0</v>
      </c>
      <c r="G106" s="537">
        <f t="shared" si="63"/>
        <v>7.8057016949152542</v>
      </c>
      <c r="H106" s="535">
        <v>7.8057016949152542</v>
      </c>
      <c r="I106" s="522">
        <f>I107+I108+I109+I110</f>
        <v>7.8057016949152542</v>
      </c>
      <c r="J106" s="522">
        <f t="shared" ref="J106:R106" si="71">J107+J108+J109+J110</f>
        <v>3.1707050847457632</v>
      </c>
      <c r="K106" s="522">
        <f>'10'!J88/1.18</f>
        <v>2.9364406779661021</v>
      </c>
      <c r="L106" s="522">
        <f t="shared" si="71"/>
        <v>2.2639254237288138</v>
      </c>
      <c r="M106" s="522">
        <f>'10'!L88/1.18</f>
        <v>2.0296610169491527</v>
      </c>
      <c r="N106" s="522">
        <f t="shared" si="71"/>
        <v>1.369491525423729</v>
      </c>
      <c r="O106" s="522">
        <f>'10'!N88/1.18</f>
        <v>1.1355932203389831</v>
      </c>
      <c r="P106" s="522">
        <f>P107+P108+P109+P110</f>
        <v>1.0008474576271187</v>
      </c>
      <c r="Q106" s="522">
        <f t="shared" si="71"/>
        <v>0.76694915254237284</v>
      </c>
      <c r="R106" s="522">
        <f t="shared" si="71"/>
        <v>0</v>
      </c>
      <c r="S106" s="522">
        <f t="shared" si="60"/>
        <v>0</v>
      </c>
      <c r="T106" s="522">
        <f t="shared" si="61"/>
        <v>0</v>
      </c>
      <c r="U106" s="564">
        <f t="shared" si="69"/>
        <v>100</v>
      </c>
      <c r="V106" s="570"/>
    </row>
    <row r="107" spans="1:22" ht="47.25">
      <c r="A107" s="205" t="s">
        <v>960</v>
      </c>
      <c r="B107" s="510" t="s">
        <v>961</v>
      </c>
      <c r="C107" s="207" t="s">
        <v>962</v>
      </c>
      <c r="D107" s="536">
        <f t="shared" si="62"/>
        <v>1.9886000000000004</v>
      </c>
      <c r="E107" s="557">
        <f>(190000+150000+120000+85000+85000+79000+75000+75000+75000)/1000000/1.18+0.001*9/1.18</f>
        <v>0.79915254237288147</v>
      </c>
      <c r="F107" s="532">
        <v>0</v>
      </c>
      <c r="G107" s="537">
        <f t="shared" si="63"/>
        <v>1.9886000000000004</v>
      </c>
      <c r="H107" s="535">
        <v>1.9886000000000004</v>
      </c>
      <c r="I107" s="522">
        <f>H107</f>
        <v>1.9886000000000004</v>
      </c>
      <c r="J107" s="522">
        <f>'10'!I89/1.18</f>
        <v>1.0702432203389831</v>
      </c>
      <c r="K107" s="522">
        <f>'10'!J89/1.18</f>
        <v>1.0127118644067798</v>
      </c>
      <c r="L107" s="522">
        <f>'10'!K89/1.18</f>
        <v>0.33719237288135595</v>
      </c>
      <c r="M107" s="522">
        <f>'10'!L89/1.18</f>
        <v>0.27966101694915257</v>
      </c>
      <c r="N107" s="522">
        <f>'10'!M89/1.18</f>
        <v>0.30338983050847457</v>
      </c>
      <c r="O107" s="522">
        <f>'10'!N89/1.18</f>
        <v>0.24576271186440676</v>
      </c>
      <c r="P107" s="522">
        <f>'10'!O89/1.18</f>
        <v>0.27796610169491526</v>
      </c>
      <c r="Q107" s="522">
        <f>'10'!P89/1.18</f>
        <v>0.22033898305084748</v>
      </c>
      <c r="R107" s="522">
        <f t="shared" si="66"/>
        <v>0</v>
      </c>
      <c r="S107" s="522">
        <f>H107-I107</f>
        <v>0</v>
      </c>
      <c r="T107" s="522">
        <f t="shared" si="61"/>
        <v>0</v>
      </c>
      <c r="U107" s="564">
        <f t="shared" si="69"/>
        <v>100</v>
      </c>
      <c r="V107" s="570"/>
    </row>
    <row r="108" spans="1:22" ht="47.25">
      <c r="A108" s="205" t="s">
        <v>963</v>
      </c>
      <c r="B108" s="510" t="s">
        <v>964</v>
      </c>
      <c r="C108" s="207" t="s">
        <v>965</v>
      </c>
      <c r="D108" s="536">
        <f t="shared" si="62"/>
        <v>0.42268813559322033</v>
      </c>
      <c r="E108" s="557">
        <f>(45000+30000+28000+25000+15000+14000+13000+11000+10000)/1000000/1.18+0.001*9/1.18</f>
        <v>0.16949152542372881</v>
      </c>
      <c r="F108" s="532">
        <v>0</v>
      </c>
      <c r="G108" s="537">
        <f t="shared" si="63"/>
        <v>0.42268813559322033</v>
      </c>
      <c r="H108" s="535">
        <v>0.42268813559322033</v>
      </c>
      <c r="I108" s="522">
        <f t="shared" ref="I108:I110" si="72">H108</f>
        <v>0.42268813559322033</v>
      </c>
      <c r="J108" s="522">
        <f>'10'!I90/1.18</f>
        <v>0.22325677966101695</v>
      </c>
      <c r="K108" s="522">
        <f>'10'!J90/1.18</f>
        <v>0.21186440677966104</v>
      </c>
      <c r="L108" s="522">
        <f>'10'!K90/1.18</f>
        <v>9.1900847457627138E-2</v>
      </c>
      <c r="M108" s="522">
        <f>'10'!L90/1.18</f>
        <v>8.0508474576271194E-2</v>
      </c>
      <c r="N108" s="522">
        <f>'10'!M90/1.18</f>
        <v>5.7627118644067804E-2</v>
      </c>
      <c r="O108" s="522">
        <f>'10'!N90/1.18</f>
        <v>4.6610169491525424E-2</v>
      </c>
      <c r="P108" s="522">
        <f>'10'!O90/1.18</f>
        <v>4.9152542372881358E-2</v>
      </c>
      <c r="Q108" s="522">
        <f>'10'!P90/1.18</f>
        <v>3.8135593220338986E-2</v>
      </c>
      <c r="R108" s="522">
        <f t="shared" si="66"/>
        <v>0</v>
      </c>
      <c r="S108" s="522">
        <f t="shared" si="60"/>
        <v>0</v>
      </c>
      <c r="T108" s="522">
        <f t="shared" si="61"/>
        <v>0</v>
      </c>
      <c r="U108" s="564">
        <f t="shared" si="69"/>
        <v>100</v>
      </c>
      <c r="V108" s="570"/>
    </row>
    <row r="109" spans="1:22" ht="47.25">
      <c r="A109" s="205" t="s">
        <v>966</v>
      </c>
      <c r="B109" s="510" t="s">
        <v>967</v>
      </c>
      <c r="C109" s="207" t="s">
        <v>968</v>
      </c>
      <c r="D109" s="536">
        <f t="shared" si="62"/>
        <v>3.8465152542372882</v>
      </c>
      <c r="E109" s="557">
        <f>(500000+450000+400000+350000+300000+150000+100000)/1000000/1.18+0.01*7/1.18</f>
        <v>1.9661016949152543</v>
      </c>
      <c r="F109" s="532">
        <v>0</v>
      </c>
      <c r="G109" s="537">
        <f t="shared" si="63"/>
        <v>3.8465152542372882</v>
      </c>
      <c r="H109" s="535">
        <v>3.8465152542372882</v>
      </c>
      <c r="I109" s="522">
        <f t="shared" si="72"/>
        <v>3.8465152542372882</v>
      </c>
      <c r="J109" s="522">
        <f>'10'!I91/1.18</f>
        <v>1.3864169491525424</v>
      </c>
      <c r="K109" s="522">
        <f>1386416.94/1000000</f>
        <v>1.3864169399999999</v>
      </c>
      <c r="L109" s="522">
        <f>'10'!K91/1.18</f>
        <v>1.3864169491525424</v>
      </c>
      <c r="M109" s="522">
        <f>'10'!L91/1.18</f>
        <v>1.2711864406779663</v>
      </c>
      <c r="N109" s="522">
        <f>'10'!M91/1.18</f>
        <v>0.70423728813559328</v>
      </c>
      <c r="O109" s="522">
        <f>'10'!N91/1.18</f>
        <v>0.58898305084745761</v>
      </c>
      <c r="P109" s="522">
        <f>'10'!O91/1.18</f>
        <v>0.36949152542372882</v>
      </c>
      <c r="Q109" s="522">
        <f>'10'!P91/1.18</f>
        <v>0.25423728813559321</v>
      </c>
      <c r="R109" s="522">
        <f t="shared" si="66"/>
        <v>0</v>
      </c>
      <c r="S109" s="522">
        <f t="shared" si="60"/>
        <v>0</v>
      </c>
      <c r="T109" s="522">
        <f t="shared" si="61"/>
        <v>0</v>
      </c>
      <c r="U109" s="564">
        <f t="shared" si="69"/>
        <v>100</v>
      </c>
      <c r="V109" s="570"/>
    </row>
    <row r="110" spans="1:22" ht="47.25">
      <c r="A110" s="205" t="s">
        <v>969</v>
      </c>
      <c r="B110" s="510" t="s">
        <v>970</v>
      </c>
      <c r="C110" s="207" t="s">
        <v>971</v>
      </c>
      <c r="D110" s="536">
        <f t="shared" si="62"/>
        <v>1.5478983050847459</v>
      </c>
      <c r="E110" s="557">
        <f>0.175*5/1.18+0.005*5/1.18</f>
        <v>0.76271186440677974</v>
      </c>
      <c r="F110" s="532">
        <v>0</v>
      </c>
      <c r="G110" s="537">
        <f t="shared" si="63"/>
        <v>1.5478983050847459</v>
      </c>
      <c r="H110" s="535">
        <v>1.5478983050847459</v>
      </c>
      <c r="I110" s="522">
        <f t="shared" si="72"/>
        <v>1.5478983050847459</v>
      </c>
      <c r="J110" s="522">
        <f>'10'!I92/1.18</f>
        <v>0.49078813559322038</v>
      </c>
      <c r="K110" s="522">
        <f>'10'!J92/1.18</f>
        <v>0.44067796610169496</v>
      </c>
      <c r="L110" s="522">
        <f>'10'!K92/1.18</f>
        <v>0.44841525423728817</v>
      </c>
      <c r="M110" s="522">
        <f>'10'!L92/1.18</f>
        <v>0.39830508474576271</v>
      </c>
      <c r="N110" s="522">
        <f>'10'!M92/1.18</f>
        <v>0.3042372881355932</v>
      </c>
      <c r="O110" s="522">
        <f>'10'!N92/1.18</f>
        <v>0.25423728813559321</v>
      </c>
      <c r="P110" s="522">
        <f>'10'!O92/1.18</f>
        <v>0.3042372881355932</v>
      </c>
      <c r="Q110" s="522">
        <f>'10'!P92/1.18</f>
        <v>0.25423728813559321</v>
      </c>
      <c r="R110" s="522">
        <f t="shared" si="66"/>
        <v>0</v>
      </c>
      <c r="S110" s="522">
        <f t="shared" si="60"/>
        <v>0</v>
      </c>
      <c r="T110" s="522">
        <f t="shared" si="61"/>
        <v>0</v>
      </c>
      <c r="U110" s="564">
        <f t="shared" si="69"/>
        <v>100</v>
      </c>
      <c r="V110" s="570"/>
    </row>
    <row r="111" spans="1:22" s="572" customFormat="1">
      <c r="A111" s="701" t="s">
        <v>21</v>
      </c>
      <c r="B111" s="701"/>
      <c r="C111" s="701"/>
      <c r="D111" s="536">
        <f t="shared" si="62"/>
        <v>19.049248063559322</v>
      </c>
      <c r="E111" s="586">
        <f>E24+E28+E99</f>
        <v>14.062188974576278</v>
      </c>
      <c r="F111" s="536">
        <v>0</v>
      </c>
      <c r="G111" s="536">
        <f t="shared" si="63"/>
        <v>19.049248063559322</v>
      </c>
      <c r="H111" s="523">
        <f t="shared" ref="H111:U111" si="73">H22</f>
        <v>19.049248063559322</v>
      </c>
      <c r="I111" s="523">
        <f t="shared" si="73"/>
        <v>18.548770494542374</v>
      </c>
      <c r="J111" s="523">
        <f t="shared" si="73"/>
        <v>3.9222083056324242</v>
      </c>
      <c r="K111" s="523">
        <f t="shared" si="73"/>
        <v>3.383571787966102</v>
      </c>
      <c r="L111" s="523">
        <f t="shared" si="73"/>
        <v>2.4982417711864411</v>
      </c>
      <c r="M111" s="523">
        <f t="shared" si="73"/>
        <v>4.3371586544067799</v>
      </c>
      <c r="N111" s="523">
        <f t="shared" si="73"/>
        <v>1.6459848154237289</v>
      </c>
      <c r="O111" s="523">
        <f t="shared" si="73"/>
        <v>2.10235350779661</v>
      </c>
      <c r="P111" s="523">
        <f t="shared" si="73"/>
        <v>4.5565203389830504</v>
      </c>
      <c r="Q111" s="523">
        <f t="shared" si="73"/>
        <v>5.3521698958983057</v>
      </c>
      <c r="R111" s="523">
        <f t="shared" si="73"/>
        <v>0</v>
      </c>
      <c r="S111" s="523">
        <f t="shared" si="73"/>
        <v>0.5004775690169474</v>
      </c>
      <c r="T111" s="523">
        <f t="shared" si="73"/>
        <v>0.5004775690169474</v>
      </c>
      <c r="U111" s="584">
        <f t="shared" si="73"/>
        <v>97.372717456631023</v>
      </c>
      <c r="V111" s="585"/>
    </row>
  </sheetData>
  <autoFilter ref="A21:V111"/>
  <mergeCells count="27">
    <mergeCell ref="A111:C111"/>
    <mergeCell ref="A6:V6"/>
    <mergeCell ref="A7:V7"/>
    <mergeCell ref="A8:V8"/>
    <mergeCell ref="A10:V10"/>
    <mergeCell ref="A15:V15"/>
    <mergeCell ref="A14:V14"/>
    <mergeCell ref="A12:V12"/>
    <mergeCell ref="F18:G18"/>
    <mergeCell ref="H18:Q18"/>
    <mergeCell ref="R18:S18"/>
    <mergeCell ref="T18:U19"/>
    <mergeCell ref="V18:V20"/>
    <mergeCell ref="F19:F20"/>
    <mergeCell ref="G19:G20"/>
    <mergeCell ref="H19:I19"/>
    <mergeCell ref="S19:S20"/>
    <mergeCell ref="A18:A20"/>
    <mergeCell ref="B18:B20"/>
    <mergeCell ref="C18:C20"/>
    <mergeCell ref="D18:D20"/>
    <mergeCell ref="E18:E20"/>
    <mergeCell ref="J19:K19"/>
    <mergeCell ref="L19:M19"/>
    <mergeCell ref="N19:O19"/>
    <mergeCell ref="P19:Q19"/>
    <mergeCell ref="R19:R20"/>
  </mergeCells>
  <pageMargins left="0.23622047244094491" right="0.23622047244094491" top="0.31496062992125984" bottom="0.27559055118110237" header="0.31496062992125984" footer="0.31496062992125984"/>
  <pageSetup paperSize="9" scale="38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CB116"/>
  <sheetViews>
    <sheetView view="pageBreakPreview" topLeftCell="AU5" zoomScale="60" zoomScaleNormal="55" workbookViewId="0">
      <selection activeCell="AR24" sqref="AR24"/>
    </sheetView>
  </sheetViews>
  <sheetFormatPr defaultRowHeight="15.75" outlineLevelCol="1"/>
  <cols>
    <col min="1" max="1" width="15.5703125" style="57" customWidth="1"/>
    <col min="2" max="2" width="44.5703125" style="60" customWidth="1"/>
    <col min="3" max="3" width="19.85546875" style="60" customWidth="1"/>
    <col min="4" max="4" width="27.28515625" style="60" customWidth="1"/>
    <col min="5" max="5" width="13.5703125" style="60" customWidth="1"/>
    <col min="6" max="11" width="11.7109375" style="60" customWidth="1"/>
    <col min="12" max="12" width="12.7109375" style="60" customWidth="1" outlineLevel="1"/>
    <col min="13" max="18" width="11.7109375" style="60" customWidth="1" outlineLevel="1"/>
    <col min="19" max="19" width="15.140625" style="60" customWidth="1" outlineLevel="1"/>
    <col min="20" max="25" width="11.7109375" style="60" customWidth="1" outlineLevel="1"/>
    <col min="26" max="26" width="23.7109375" style="60" customWidth="1" outlineLevel="1"/>
    <col min="27" max="32" width="11.7109375" style="60" customWidth="1" outlineLevel="1"/>
    <col min="33" max="33" width="23.7109375" style="60" customWidth="1" outlineLevel="1"/>
    <col min="34" max="39" width="11.7109375" style="60" customWidth="1" outlineLevel="1"/>
    <col min="40" max="40" width="16" style="60" customWidth="1"/>
    <col min="41" max="41" width="14.5703125" style="60" customWidth="1"/>
    <col min="42" max="46" width="11.7109375" style="60" customWidth="1"/>
    <col min="47" max="47" width="15" style="60" customWidth="1" outlineLevel="1"/>
    <col min="48" max="53" width="11.7109375" style="60" customWidth="1" outlineLevel="1"/>
    <col min="54" max="54" width="15.7109375" style="60" customWidth="1" outlineLevel="1"/>
    <col min="55" max="60" width="11.7109375" style="60" customWidth="1" outlineLevel="1"/>
    <col min="61" max="61" width="23.7109375" style="60" customWidth="1" outlineLevel="1"/>
    <col min="62" max="67" width="11.7109375" style="60" customWidth="1" outlineLevel="1"/>
    <col min="68" max="68" width="23.7109375" style="60" customWidth="1" outlineLevel="1"/>
    <col min="69" max="74" width="11.7109375" style="60" customWidth="1" outlineLevel="1"/>
    <col min="75" max="78" width="11.7109375" style="60" customWidth="1"/>
    <col min="79" max="79" width="28.7109375" style="60" customWidth="1"/>
    <col min="80" max="80" width="9.140625" style="60"/>
  </cols>
  <sheetData>
    <row r="1" spans="1:79">
      <c r="BW1" s="57" t="s">
        <v>499</v>
      </c>
    </row>
    <row r="2" spans="1:79">
      <c r="BW2" s="57" t="s">
        <v>23</v>
      </c>
    </row>
    <row r="3" spans="1:79">
      <c r="BW3" s="57" t="s">
        <v>24</v>
      </c>
    </row>
    <row r="6" spans="1:79">
      <c r="A6" s="699" t="s">
        <v>500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99"/>
      <c r="AL6" s="699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699"/>
      <c r="AX6" s="699"/>
      <c r="AY6" s="699"/>
      <c r="AZ6" s="699"/>
      <c r="BA6" s="699"/>
      <c r="BB6" s="699"/>
      <c r="BC6" s="699"/>
      <c r="BD6" s="699"/>
      <c r="BE6" s="699"/>
      <c r="BF6" s="699"/>
      <c r="BG6" s="699"/>
      <c r="BH6" s="699"/>
      <c r="BI6" s="699"/>
      <c r="BJ6" s="699"/>
      <c r="BK6" s="699"/>
      <c r="BL6" s="699"/>
      <c r="BM6" s="699"/>
      <c r="BN6" s="699"/>
      <c r="BO6" s="699"/>
      <c r="BP6" s="699"/>
      <c r="BQ6" s="699"/>
      <c r="BR6" s="699"/>
      <c r="BS6" s="699"/>
      <c r="BT6" s="699"/>
      <c r="BU6" s="699"/>
      <c r="BV6" s="699"/>
      <c r="BW6" s="699"/>
      <c r="BX6" s="699"/>
      <c r="BY6" s="699"/>
      <c r="BZ6" s="699"/>
      <c r="CA6" s="699"/>
    </row>
    <row r="7" spans="1:79">
      <c r="A7" s="699" t="s">
        <v>495</v>
      </c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699"/>
      <c r="AK7" s="699"/>
      <c r="AL7" s="699"/>
      <c r="AM7" s="699"/>
      <c r="AN7" s="699"/>
      <c r="AO7" s="699"/>
      <c r="AP7" s="699"/>
      <c r="AQ7" s="699"/>
      <c r="AR7" s="699"/>
      <c r="AS7" s="699"/>
      <c r="AT7" s="699"/>
      <c r="AU7" s="699"/>
      <c r="AV7" s="699"/>
      <c r="AW7" s="699"/>
      <c r="AX7" s="699"/>
      <c r="AY7" s="699"/>
      <c r="AZ7" s="699"/>
      <c r="BA7" s="699"/>
      <c r="BB7" s="699"/>
      <c r="BC7" s="699"/>
      <c r="BD7" s="699"/>
      <c r="BE7" s="699"/>
      <c r="BF7" s="699"/>
      <c r="BG7" s="699"/>
      <c r="BH7" s="699"/>
      <c r="BI7" s="699"/>
      <c r="BJ7" s="699"/>
      <c r="BK7" s="699"/>
      <c r="BL7" s="699"/>
      <c r="BM7" s="699"/>
      <c r="BN7" s="699"/>
      <c r="BO7" s="699"/>
      <c r="BP7" s="699"/>
      <c r="BQ7" s="699"/>
      <c r="BR7" s="699"/>
      <c r="BS7" s="699"/>
      <c r="BT7" s="699"/>
      <c r="BU7" s="699"/>
      <c r="BV7" s="699"/>
      <c r="BW7" s="699"/>
      <c r="BX7" s="699"/>
      <c r="BY7" s="699"/>
      <c r="BZ7" s="699"/>
      <c r="CA7" s="699"/>
    </row>
    <row r="8" spans="1:79">
      <c r="A8" s="699" t="s">
        <v>1188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  <c r="BD8" s="699"/>
      <c r="BE8" s="699"/>
      <c r="BF8" s="699"/>
      <c r="BG8" s="699"/>
      <c r="BH8" s="699"/>
      <c r="BI8" s="699"/>
      <c r="BJ8" s="699"/>
      <c r="BK8" s="699"/>
      <c r="BL8" s="699"/>
      <c r="BM8" s="699"/>
      <c r="BN8" s="699"/>
      <c r="BO8" s="699"/>
      <c r="BP8" s="699"/>
      <c r="BQ8" s="699"/>
      <c r="BR8" s="699"/>
      <c r="BS8" s="699"/>
      <c r="BT8" s="699"/>
      <c r="BU8" s="699"/>
      <c r="BV8" s="699"/>
      <c r="BW8" s="699"/>
      <c r="BX8" s="699"/>
      <c r="BY8" s="699"/>
      <c r="BZ8" s="699"/>
      <c r="CA8" s="699"/>
    </row>
    <row r="10" spans="1:79">
      <c r="A10" s="700" t="s">
        <v>727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</row>
    <row r="12" spans="1:79">
      <c r="A12" s="697" t="s">
        <v>725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  <c r="BD12" s="697"/>
      <c r="BE12" s="697"/>
      <c r="BF12" s="697"/>
      <c r="BG12" s="697"/>
      <c r="BH12" s="697"/>
      <c r="BI12" s="697"/>
      <c r="BJ12" s="697"/>
      <c r="BK12" s="697"/>
      <c r="BL12" s="697"/>
      <c r="BM12" s="697"/>
      <c r="BN12" s="697"/>
      <c r="BO12" s="697"/>
      <c r="BP12" s="697"/>
      <c r="BQ12" s="697"/>
      <c r="BR12" s="697"/>
      <c r="BS12" s="697"/>
      <c r="BT12" s="697"/>
      <c r="BU12" s="697"/>
      <c r="BV12" s="697"/>
      <c r="BW12" s="697"/>
      <c r="BX12" s="697"/>
      <c r="BY12" s="697"/>
      <c r="BZ12" s="697"/>
      <c r="CA12" s="697"/>
    </row>
    <row r="14" spans="1:79">
      <c r="A14" s="697" t="s">
        <v>34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</row>
    <row r="15" spans="1:79">
      <c r="A15" s="698" t="s">
        <v>1190</v>
      </c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8"/>
      <c r="BN15" s="698"/>
      <c r="BO15" s="698"/>
      <c r="BP15" s="698"/>
      <c r="BQ15" s="698"/>
      <c r="BR15" s="698"/>
      <c r="BS15" s="698"/>
      <c r="BT15" s="698"/>
      <c r="BU15" s="698"/>
      <c r="BV15" s="698"/>
      <c r="BW15" s="698"/>
      <c r="BX15" s="698"/>
      <c r="BY15" s="698"/>
      <c r="BZ15" s="698"/>
      <c r="CA15" s="698"/>
    </row>
    <row r="18" spans="1:80" s="65" customFormat="1">
      <c r="A18" s="695" t="s">
        <v>0</v>
      </c>
      <c r="B18" s="695" t="s">
        <v>1</v>
      </c>
      <c r="C18" s="695" t="s">
        <v>2</v>
      </c>
      <c r="D18" s="695" t="s">
        <v>53</v>
      </c>
      <c r="E18" s="706" t="s">
        <v>1011</v>
      </c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07"/>
      <c r="BH18" s="707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8"/>
      <c r="BW18" s="695" t="s">
        <v>536</v>
      </c>
      <c r="BX18" s="695"/>
      <c r="BY18" s="695"/>
      <c r="BZ18" s="695"/>
      <c r="CA18" s="695" t="s">
        <v>10</v>
      </c>
      <c r="CB18" s="64"/>
    </row>
    <row r="19" spans="1:80" s="65" customFormat="1">
      <c r="A19" s="695"/>
      <c r="B19" s="695"/>
      <c r="C19" s="695"/>
      <c r="D19" s="695"/>
      <c r="E19" s="695" t="s">
        <v>11</v>
      </c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5"/>
      <c r="AB19" s="695"/>
      <c r="AC19" s="695"/>
      <c r="AD19" s="695"/>
      <c r="AE19" s="695"/>
      <c r="AF19" s="695"/>
      <c r="AG19" s="695"/>
      <c r="AH19" s="695"/>
      <c r="AI19" s="695"/>
      <c r="AJ19" s="695"/>
      <c r="AK19" s="695"/>
      <c r="AL19" s="695"/>
      <c r="AM19" s="695"/>
      <c r="AN19" s="695" t="s">
        <v>12</v>
      </c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5"/>
      <c r="BA19" s="695"/>
      <c r="BB19" s="695"/>
      <c r="BC19" s="695"/>
      <c r="BD19" s="695"/>
      <c r="BE19" s="695"/>
      <c r="BF19" s="695"/>
      <c r="BG19" s="695"/>
      <c r="BH19" s="695"/>
      <c r="BI19" s="695"/>
      <c r="BJ19" s="695"/>
      <c r="BK19" s="695"/>
      <c r="BL19" s="695"/>
      <c r="BM19" s="695"/>
      <c r="BN19" s="695"/>
      <c r="BO19" s="695"/>
      <c r="BP19" s="695"/>
      <c r="BQ19" s="695"/>
      <c r="BR19" s="695"/>
      <c r="BS19" s="695"/>
      <c r="BT19" s="695"/>
      <c r="BU19" s="695"/>
      <c r="BV19" s="695"/>
      <c r="BW19" s="695"/>
      <c r="BX19" s="695"/>
      <c r="BY19" s="695"/>
      <c r="BZ19" s="695"/>
      <c r="CA19" s="695"/>
      <c r="CB19" s="64"/>
    </row>
    <row r="20" spans="1:80" s="65" customFormat="1">
      <c r="A20" s="695"/>
      <c r="B20" s="695"/>
      <c r="C20" s="695"/>
      <c r="D20" s="695"/>
      <c r="E20" s="695" t="s">
        <v>485</v>
      </c>
      <c r="F20" s="695"/>
      <c r="G20" s="695"/>
      <c r="H20" s="695"/>
      <c r="I20" s="695"/>
      <c r="J20" s="695"/>
      <c r="K20" s="695"/>
      <c r="L20" s="695" t="s">
        <v>486</v>
      </c>
      <c r="M20" s="695"/>
      <c r="N20" s="695"/>
      <c r="O20" s="695"/>
      <c r="P20" s="695"/>
      <c r="Q20" s="695"/>
      <c r="R20" s="695"/>
      <c r="S20" s="695" t="s">
        <v>487</v>
      </c>
      <c r="T20" s="695"/>
      <c r="U20" s="695"/>
      <c r="V20" s="695"/>
      <c r="W20" s="695"/>
      <c r="X20" s="695"/>
      <c r="Y20" s="695"/>
      <c r="Z20" s="695" t="s">
        <v>488</v>
      </c>
      <c r="AA20" s="695"/>
      <c r="AB20" s="695"/>
      <c r="AC20" s="695"/>
      <c r="AD20" s="695"/>
      <c r="AE20" s="695"/>
      <c r="AF20" s="695"/>
      <c r="AG20" s="695" t="s">
        <v>489</v>
      </c>
      <c r="AH20" s="695"/>
      <c r="AI20" s="695"/>
      <c r="AJ20" s="695"/>
      <c r="AK20" s="695"/>
      <c r="AL20" s="695"/>
      <c r="AM20" s="695"/>
      <c r="AN20" s="695" t="s">
        <v>485</v>
      </c>
      <c r="AO20" s="695"/>
      <c r="AP20" s="695"/>
      <c r="AQ20" s="695"/>
      <c r="AR20" s="695"/>
      <c r="AS20" s="695"/>
      <c r="AT20" s="695"/>
      <c r="AU20" s="695" t="s">
        <v>486</v>
      </c>
      <c r="AV20" s="695"/>
      <c r="AW20" s="695"/>
      <c r="AX20" s="695"/>
      <c r="AY20" s="695"/>
      <c r="AZ20" s="695"/>
      <c r="BA20" s="695"/>
      <c r="BB20" s="695" t="s">
        <v>487</v>
      </c>
      <c r="BC20" s="695"/>
      <c r="BD20" s="695"/>
      <c r="BE20" s="695"/>
      <c r="BF20" s="695"/>
      <c r="BG20" s="695"/>
      <c r="BH20" s="695"/>
      <c r="BI20" s="695" t="s">
        <v>488</v>
      </c>
      <c r="BJ20" s="695"/>
      <c r="BK20" s="695"/>
      <c r="BL20" s="695"/>
      <c r="BM20" s="695"/>
      <c r="BN20" s="695"/>
      <c r="BO20" s="695"/>
      <c r="BP20" s="695" t="s">
        <v>489</v>
      </c>
      <c r="BQ20" s="695"/>
      <c r="BR20" s="695"/>
      <c r="BS20" s="695"/>
      <c r="BT20" s="695"/>
      <c r="BU20" s="695"/>
      <c r="BV20" s="695"/>
      <c r="BW20" s="695"/>
      <c r="BX20" s="695"/>
      <c r="BY20" s="695"/>
      <c r="BZ20" s="695"/>
      <c r="CA20" s="695"/>
      <c r="CB20" s="64"/>
    </row>
    <row r="21" spans="1:80" s="65" customFormat="1" ht="47.25">
      <c r="A21" s="695"/>
      <c r="B21" s="695"/>
      <c r="C21" s="695"/>
      <c r="D21" s="695"/>
      <c r="E21" s="66" t="s">
        <v>56</v>
      </c>
      <c r="F21" s="695" t="s">
        <v>57</v>
      </c>
      <c r="G21" s="695"/>
      <c r="H21" s="695"/>
      <c r="I21" s="695"/>
      <c r="J21" s="695"/>
      <c r="K21" s="695"/>
      <c r="L21" s="66" t="s">
        <v>56</v>
      </c>
      <c r="M21" s="695" t="s">
        <v>57</v>
      </c>
      <c r="N21" s="695"/>
      <c r="O21" s="695"/>
      <c r="P21" s="695"/>
      <c r="Q21" s="695"/>
      <c r="R21" s="695"/>
      <c r="S21" s="66" t="s">
        <v>56</v>
      </c>
      <c r="T21" s="695" t="s">
        <v>57</v>
      </c>
      <c r="U21" s="695"/>
      <c r="V21" s="695"/>
      <c r="W21" s="695"/>
      <c r="X21" s="695"/>
      <c r="Y21" s="695"/>
      <c r="Z21" s="66" t="s">
        <v>56</v>
      </c>
      <c r="AA21" s="695" t="s">
        <v>57</v>
      </c>
      <c r="AB21" s="695"/>
      <c r="AC21" s="695"/>
      <c r="AD21" s="695"/>
      <c r="AE21" s="695"/>
      <c r="AF21" s="695"/>
      <c r="AG21" s="66" t="s">
        <v>56</v>
      </c>
      <c r="AH21" s="695" t="s">
        <v>57</v>
      </c>
      <c r="AI21" s="695"/>
      <c r="AJ21" s="695"/>
      <c r="AK21" s="695"/>
      <c r="AL21" s="695"/>
      <c r="AM21" s="695"/>
      <c r="AN21" s="66" t="s">
        <v>56</v>
      </c>
      <c r="AO21" s="695" t="s">
        <v>57</v>
      </c>
      <c r="AP21" s="695"/>
      <c r="AQ21" s="695"/>
      <c r="AR21" s="695"/>
      <c r="AS21" s="695"/>
      <c r="AT21" s="695"/>
      <c r="AU21" s="66" t="s">
        <v>56</v>
      </c>
      <c r="AV21" s="695" t="s">
        <v>57</v>
      </c>
      <c r="AW21" s="695"/>
      <c r="AX21" s="695"/>
      <c r="AY21" s="695"/>
      <c r="AZ21" s="695"/>
      <c r="BA21" s="695"/>
      <c r="BB21" s="66" t="s">
        <v>56</v>
      </c>
      <c r="BC21" s="695" t="s">
        <v>57</v>
      </c>
      <c r="BD21" s="695"/>
      <c r="BE21" s="695"/>
      <c r="BF21" s="695"/>
      <c r="BG21" s="695"/>
      <c r="BH21" s="695"/>
      <c r="BI21" s="66" t="s">
        <v>56</v>
      </c>
      <c r="BJ21" s="695" t="s">
        <v>57</v>
      </c>
      <c r="BK21" s="695"/>
      <c r="BL21" s="695"/>
      <c r="BM21" s="695"/>
      <c r="BN21" s="695"/>
      <c r="BO21" s="695"/>
      <c r="BP21" s="66" t="s">
        <v>56</v>
      </c>
      <c r="BQ21" s="695" t="s">
        <v>57</v>
      </c>
      <c r="BR21" s="695"/>
      <c r="BS21" s="695"/>
      <c r="BT21" s="695"/>
      <c r="BU21" s="695"/>
      <c r="BV21" s="695"/>
      <c r="BW21" s="695" t="s">
        <v>56</v>
      </c>
      <c r="BX21" s="695"/>
      <c r="BY21" s="695" t="s">
        <v>57</v>
      </c>
      <c r="BZ21" s="695"/>
      <c r="CA21" s="695"/>
      <c r="CB21" s="64"/>
    </row>
    <row r="22" spans="1:80" s="65" customFormat="1" ht="72.75" customHeight="1">
      <c r="A22" s="695"/>
      <c r="B22" s="695"/>
      <c r="C22" s="695"/>
      <c r="D22" s="695"/>
      <c r="E22" s="66" t="s">
        <v>48</v>
      </c>
      <c r="F22" s="66" t="s">
        <v>48</v>
      </c>
      <c r="G22" s="66" t="s">
        <v>58</v>
      </c>
      <c r="H22" s="66" t="s">
        <v>59</v>
      </c>
      <c r="I22" s="66" t="s">
        <v>60</v>
      </c>
      <c r="J22" s="66" t="s">
        <v>61</v>
      </c>
      <c r="K22" s="66" t="s">
        <v>62</v>
      </c>
      <c r="L22" s="66" t="s">
        <v>48</v>
      </c>
      <c r="M22" s="66" t="s">
        <v>48</v>
      </c>
      <c r="N22" s="66" t="s">
        <v>58</v>
      </c>
      <c r="O22" s="66" t="s">
        <v>59</v>
      </c>
      <c r="P22" s="66" t="s">
        <v>60</v>
      </c>
      <c r="Q22" s="66" t="s">
        <v>61</v>
      </c>
      <c r="R22" s="66" t="s">
        <v>62</v>
      </c>
      <c r="S22" s="66" t="s">
        <v>48</v>
      </c>
      <c r="T22" s="66" t="s">
        <v>48</v>
      </c>
      <c r="U22" s="66" t="s">
        <v>58</v>
      </c>
      <c r="V22" s="66" t="s">
        <v>59</v>
      </c>
      <c r="W22" s="66" t="s">
        <v>60</v>
      </c>
      <c r="X22" s="66" t="s">
        <v>61</v>
      </c>
      <c r="Y22" s="66" t="s">
        <v>62</v>
      </c>
      <c r="Z22" s="66" t="s">
        <v>48</v>
      </c>
      <c r="AA22" s="66" t="s">
        <v>48</v>
      </c>
      <c r="AB22" s="66" t="s">
        <v>58</v>
      </c>
      <c r="AC22" s="66" t="s">
        <v>59</v>
      </c>
      <c r="AD22" s="66" t="s">
        <v>60</v>
      </c>
      <c r="AE22" s="66" t="s">
        <v>61</v>
      </c>
      <c r="AF22" s="66" t="s">
        <v>62</v>
      </c>
      <c r="AG22" s="66" t="s">
        <v>48</v>
      </c>
      <c r="AH22" s="66" t="s">
        <v>48</v>
      </c>
      <c r="AI22" s="66" t="s">
        <v>58</v>
      </c>
      <c r="AJ22" s="66" t="s">
        <v>59</v>
      </c>
      <c r="AK22" s="66" t="s">
        <v>60</v>
      </c>
      <c r="AL22" s="66" t="s">
        <v>61</v>
      </c>
      <c r="AM22" s="66" t="s">
        <v>62</v>
      </c>
      <c r="AN22" s="66" t="s">
        <v>48</v>
      </c>
      <c r="AO22" s="66" t="s">
        <v>48</v>
      </c>
      <c r="AP22" s="66" t="s">
        <v>58</v>
      </c>
      <c r="AQ22" s="66" t="s">
        <v>59</v>
      </c>
      <c r="AR22" s="66" t="s">
        <v>60</v>
      </c>
      <c r="AS22" s="66" t="s">
        <v>61</v>
      </c>
      <c r="AT22" s="66" t="s">
        <v>62</v>
      </c>
      <c r="AU22" s="66" t="s">
        <v>48</v>
      </c>
      <c r="AV22" s="66" t="s">
        <v>48</v>
      </c>
      <c r="AW22" s="66" t="s">
        <v>58</v>
      </c>
      <c r="AX22" s="66" t="s">
        <v>59</v>
      </c>
      <c r="AY22" s="66" t="s">
        <v>60</v>
      </c>
      <c r="AZ22" s="66" t="s">
        <v>61</v>
      </c>
      <c r="BA22" s="66" t="s">
        <v>62</v>
      </c>
      <c r="BB22" s="66" t="s">
        <v>48</v>
      </c>
      <c r="BC22" s="66" t="s">
        <v>48</v>
      </c>
      <c r="BD22" s="66" t="s">
        <v>58</v>
      </c>
      <c r="BE22" s="66" t="s">
        <v>59</v>
      </c>
      <c r="BF22" s="66" t="s">
        <v>60</v>
      </c>
      <c r="BG22" s="66" t="s">
        <v>61</v>
      </c>
      <c r="BH22" s="66" t="s">
        <v>62</v>
      </c>
      <c r="BI22" s="66" t="s">
        <v>48</v>
      </c>
      <c r="BJ22" s="66" t="s">
        <v>48</v>
      </c>
      <c r="BK22" s="66" t="s">
        <v>58</v>
      </c>
      <c r="BL22" s="66" t="s">
        <v>59</v>
      </c>
      <c r="BM22" s="66" t="s">
        <v>60</v>
      </c>
      <c r="BN22" s="66" t="s">
        <v>61</v>
      </c>
      <c r="BO22" s="66" t="s">
        <v>62</v>
      </c>
      <c r="BP22" s="66" t="s">
        <v>48</v>
      </c>
      <c r="BQ22" s="66" t="s">
        <v>48</v>
      </c>
      <c r="BR22" s="66" t="s">
        <v>58</v>
      </c>
      <c r="BS22" s="66" t="s">
        <v>59</v>
      </c>
      <c r="BT22" s="66" t="s">
        <v>60</v>
      </c>
      <c r="BU22" s="66" t="s">
        <v>61</v>
      </c>
      <c r="BV22" s="66" t="s">
        <v>62</v>
      </c>
      <c r="BW22" s="66" t="s">
        <v>48</v>
      </c>
      <c r="BX22" s="66" t="s">
        <v>20</v>
      </c>
      <c r="BY22" s="66" t="s">
        <v>48</v>
      </c>
      <c r="BZ22" s="66" t="s">
        <v>20</v>
      </c>
      <c r="CA22" s="695"/>
      <c r="CB22" s="64"/>
    </row>
    <row r="23" spans="1:80" s="65" customFormat="1">
      <c r="A23" s="66">
        <v>1</v>
      </c>
      <c r="B23" s="66">
        <v>2</v>
      </c>
      <c r="C23" s="66">
        <v>3</v>
      </c>
      <c r="D23" s="66">
        <v>4</v>
      </c>
      <c r="E23" s="66" t="s">
        <v>501</v>
      </c>
      <c r="F23" s="66" t="s">
        <v>502</v>
      </c>
      <c r="G23" s="66" t="s">
        <v>503</v>
      </c>
      <c r="H23" s="66" t="s">
        <v>504</v>
      </c>
      <c r="I23" s="66" t="s">
        <v>505</v>
      </c>
      <c r="J23" s="66" t="s">
        <v>506</v>
      </c>
      <c r="K23" s="66" t="s">
        <v>507</v>
      </c>
      <c r="L23" s="66" t="s">
        <v>508</v>
      </c>
      <c r="M23" s="66" t="s">
        <v>509</v>
      </c>
      <c r="N23" s="66" t="s">
        <v>510</v>
      </c>
      <c r="O23" s="66" t="s">
        <v>511</v>
      </c>
      <c r="P23" s="66" t="s">
        <v>512</v>
      </c>
      <c r="Q23" s="66" t="s">
        <v>513</v>
      </c>
      <c r="R23" s="66" t="s">
        <v>514</v>
      </c>
      <c r="S23" s="66" t="s">
        <v>515</v>
      </c>
      <c r="T23" s="66" t="s">
        <v>516</v>
      </c>
      <c r="U23" s="66" t="s">
        <v>517</v>
      </c>
      <c r="V23" s="66" t="s">
        <v>518</v>
      </c>
      <c r="W23" s="66" t="s">
        <v>519</v>
      </c>
      <c r="X23" s="66" t="s">
        <v>520</v>
      </c>
      <c r="Y23" s="66" t="s">
        <v>521</v>
      </c>
      <c r="Z23" s="66" t="s">
        <v>522</v>
      </c>
      <c r="AA23" s="66" t="s">
        <v>523</v>
      </c>
      <c r="AB23" s="66" t="s">
        <v>524</v>
      </c>
      <c r="AC23" s="66" t="s">
        <v>525</v>
      </c>
      <c r="AD23" s="66" t="s">
        <v>526</v>
      </c>
      <c r="AE23" s="66" t="s">
        <v>527</v>
      </c>
      <c r="AF23" s="66" t="s">
        <v>528</v>
      </c>
      <c r="AG23" s="66" t="s">
        <v>529</v>
      </c>
      <c r="AH23" s="66" t="s">
        <v>530</v>
      </c>
      <c r="AI23" s="66" t="s">
        <v>531</v>
      </c>
      <c r="AJ23" s="66" t="s">
        <v>532</v>
      </c>
      <c r="AK23" s="66" t="s">
        <v>533</v>
      </c>
      <c r="AL23" s="66" t="s">
        <v>534</v>
      </c>
      <c r="AM23" s="66" t="s">
        <v>535</v>
      </c>
      <c r="AN23" s="66" t="s">
        <v>537</v>
      </c>
      <c r="AO23" s="66" t="s">
        <v>538</v>
      </c>
      <c r="AP23" s="66" t="s">
        <v>539</v>
      </c>
      <c r="AQ23" s="66" t="s">
        <v>540</v>
      </c>
      <c r="AR23" s="66" t="s">
        <v>541</v>
      </c>
      <c r="AS23" s="66" t="s">
        <v>542</v>
      </c>
      <c r="AT23" s="66" t="s">
        <v>543</v>
      </c>
      <c r="AU23" s="66" t="s">
        <v>544</v>
      </c>
      <c r="AV23" s="66" t="s">
        <v>545</v>
      </c>
      <c r="AW23" s="66" t="s">
        <v>546</v>
      </c>
      <c r="AX23" s="66" t="s">
        <v>547</v>
      </c>
      <c r="AY23" s="66" t="s">
        <v>548</v>
      </c>
      <c r="AZ23" s="66" t="s">
        <v>549</v>
      </c>
      <c r="BA23" s="66" t="s">
        <v>550</v>
      </c>
      <c r="BB23" s="66" t="s">
        <v>551</v>
      </c>
      <c r="BC23" s="66" t="s">
        <v>552</v>
      </c>
      <c r="BD23" s="66" t="s">
        <v>553</v>
      </c>
      <c r="BE23" s="66" t="s">
        <v>554</v>
      </c>
      <c r="BF23" s="66" t="s">
        <v>555</v>
      </c>
      <c r="BG23" s="66" t="s">
        <v>556</v>
      </c>
      <c r="BH23" s="66" t="s">
        <v>557</v>
      </c>
      <c r="BI23" s="66" t="s">
        <v>558</v>
      </c>
      <c r="BJ23" s="66" t="s">
        <v>559</v>
      </c>
      <c r="BK23" s="66" t="s">
        <v>560</v>
      </c>
      <c r="BL23" s="66" t="s">
        <v>561</v>
      </c>
      <c r="BM23" s="66" t="s">
        <v>562</v>
      </c>
      <c r="BN23" s="66" t="s">
        <v>563</v>
      </c>
      <c r="BO23" s="66" t="s">
        <v>564</v>
      </c>
      <c r="BP23" s="66" t="s">
        <v>565</v>
      </c>
      <c r="BQ23" s="66" t="s">
        <v>566</v>
      </c>
      <c r="BR23" s="66" t="s">
        <v>567</v>
      </c>
      <c r="BS23" s="66" t="s">
        <v>568</v>
      </c>
      <c r="BT23" s="66" t="s">
        <v>569</v>
      </c>
      <c r="BU23" s="66" t="s">
        <v>570</v>
      </c>
      <c r="BV23" s="66" t="s">
        <v>571</v>
      </c>
      <c r="BW23" s="66">
        <v>7</v>
      </c>
      <c r="BX23" s="66">
        <v>8</v>
      </c>
      <c r="BY23" s="66">
        <v>9</v>
      </c>
      <c r="BZ23" s="66">
        <v>10</v>
      </c>
      <c r="CA23" s="66">
        <v>11</v>
      </c>
      <c r="CB23" s="64"/>
    </row>
    <row r="24" spans="1:80" s="65" customFormat="1" ht="31.5">
      <c r="A24" s="135">
        <v>0</v>
      </c>
      <c r="B24" s="132" t="s">
        <v>21</v>
      </c>
      <c r="C24" s="138" t="s">
        <v>876</v>
      </c>
      <c r="D24" s="524">
        <f>F24</f>
        <v>10.551584542372881</v>
      </c>
      <c r="E24" s="172">
        <f t="shared" ref="E24:K24" si="0">L24+S24+Z24+AG24</f>
        <v>0</v>
      </c>
      <c r="F24" s="172">
        <f>M24+T24+AA24+AH24</f>
        <v>10.551584542372881</v>
      </c>
      <c r="G24" s="172">
        <f t="shared" si="0"/>
        <v>0.25</v>
      </c>
      <c r="H24" s="172">
        <f t="shared" si="0"/>
        <v>0</v>
      </c>
      <c r="I24" s="172">
        <f>SUM(I25:I30)</f>
        <v>4.6349999999999998</v>
      </c>
      <c r="J24" s="172">
        <f t="shared" si="0"/>
        <v>0</v>
      </c>
      <c r="K24" s="172">
        <f t="shared" si="0"/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f>AH25+AH26+AH30</f>
        <v>10.551584542372881</v>
      </c>
      <c r="AI24" s="172">
        <f t="shared" ref="AI24:AM24" si="1">AI25+AI26+AI30</f>
        <v>0.25</v>
      </c>
      <c r="AJ24" s="172">
        <f t="shared" si="1"/>
        <v>0</v>
      </c>
      <c r="AK24" s="172">
        <f t="shared" si="1"/>
        <v>4.2750000000000004</v>
      </c>
      <c r="AL24" s="172">
        <f t="shared" si="1"/>
        <v>0</v>
      </c>
      <c r="AM24" s="172">
        <f t="shared" si="1"/>
        <v>0</v>
      </c>
      <c r="AN24" s="173">
        <f t="shared" ref="AN24:AT24" si="2">AU24+BB24+BI24+BP24</f>
        <v>0</v>
      </c>
      <c r="AO24" s="173">
        <f t="shared" si="2"/>
        <v>10.050932971355932</v>
      </c>
      <c r="AP24" s="173">
        <f t="shared" si="2"/>
        <v>0</v>
      </c>
      <c r="AQ24" s="173">
        <f t="shared" si="2"/>
        <v>0</v>
      </c>
      <c r="AR24" s="173">
        <f>AY24+BF24+BM24+BT24</f>
        <v>7.5520000000000005</v>
      </c>
      <c r="AS24" s="173">
        <f t="shared" si="2"/>
        <v>0</v>
      </c>
      <c r="AT24" s="173">
        <f t="shared" si="2"/>
        <v>0</v>
      </c>
      <c r="AU24" s="173">
        <f t="shared" ref="AU24:BV24" si="3">AU25+AU26+AU27+AU28+AU29+AU30</f>
        <v>0</v>
      </c>
      <c r="AV24" s="173">
        <f t="shared" si="3"/>
        <v>0.41538325000000004</v>
      </c>
      <c r="AW24" s="173">
        <f t="shared" si="3"/>
        <v>0</v>
      </c>
      <c r="AX24" s="173">
        <f t="shared" si="3"/>
        <v>0</v>
      </c>
      <c r="AY24" s="173">
        <f>AY25+AY26+AY27+AY28+AY29+AY30</f>
        <v>0.3</v>
      </c>
      <c r="AZ24" s="173">
        <f t="shared" si="3"/>
        <v>0</v>
      </c>
      <c r="BA24" s="173">
        <f t="shared" si="3"/>
        <v>0</v>
      </c>
      <c r="BB24" s="173">
        <f t="shared" si="3"/>
        <v>0</v>
      </c>
      <c r="BC24" s="173">
        <f t="shared" si="3"/>
        <v>1.2988735299999998</v>
      </c>
      <c r="BD24" s="173">
        <f t="shared" si="3"/>
        <v>0</v>
      </c>
      <c r="BE24" s="173">
        <f t="shared" si="3"/>
        <v>0</v>
      </c>
      <c r="BF24" s="173">
        <f>BF25+BF26+BF27+BF28+BF29+BF30</f>
        <v>1.28</v>
      </c>
      <c r="BG24" s="173">
        <f t="shared" si="3"/>
        <v>0</v>
      </c>
      <c r="BH24" s="173">
        <f t="shared" si="3"/>
        <v>0</v>
      </c>
      <c r="BI24" s="173">
        <f t="shared" si="3"/>
        <v>0</v>
      </c>
      <c r="BJ24" s="173">
        <f t="shared" si="3"/>
        <v>0.89115051999999995</v>
      </c>
      <c r="BK24" s="173">
        <f t="shared" si="3"/>
        <v>0</v>
      </c>
      <c r="BL24" s="173">
        <f t="shared" si="3"/>
        <v>0</v>
      </c>
      <c r="BM24" s="173">
        <f t="shared" si="3"/>
        <v>0.90500000000000003</v>
      </c>
      <c r="BN24" s="173">
        <f t="shared" si="3"/>
        <v>0</v>
      </c>
      <c r="BO24" s="173">
        <f t="shared" si="3"/>
        <v>0</v>
      </c>
      <c r="BP24" s="173">
        <f t="shared" si="3"/>
        <v>0</v>
      </c>
      <c r="BQ24" s="173">
        <f t="shared" si="3"/>
        <v>7.4455256713559317</v>
      </c>
      <c r="BR24" s="173">
        <f t="shared" si="3"/>
        <v>0</v>
      </c>
      <c r="BS24" s="173">
        <f t="shared" si="3"/>
        <v>0</v>
      </c>
      <c r="BT24" s="173">
        <f>BT25+BT26+BT27+BT28+BT29+BT30</f>
        <v>5.0670000000000002</v>
      </c>
      <c r="BU24" s="173">
        <f t="shared" si="3"/>
        <v>0</v>
      </c>
      <c r="BV24" s="173">
        <f t="shared" si="3"/>
        <v>0</v>
      </c>
      <c r="BW24" s="173">
        <f>E24-AN24</f>
        <v>0</v>
      </c>
      <c r="BX24" s="220">
        <v>0</v>
      </c>
      <c r="BY24" s="173">
        <f>F24-AO24</f>
        <v>0.50065157101694879</v>
      </c>
      <c r="BZ24" s="160"/>
      <c r="CA24" s="156">
        <f>'10'!T22</f>
        <v>0</v>
      </c>
      <c r="CB24" s="64"/>
    </row>
    <row r="25" spans="1:80">
      <c r="A25" s="135" t="s">
        <v>877</v>
      </c>
      <c r="B25" s="132" t="s">
        <v>878</v>
      </c>
      <c r="C25" s="138" t="s">
        <v>876</v>
      </c>
      <c r="D25" s="524">
        <f t="shared" ref="D25:D88" si="4">F25</f>
        <v>4.0092400000000001</v>
      </c>
      <c r="E25" s="172">
        <f t="shared" ref="E25:E31" si="5">L25+S25+Z25+AG25</f>
        <v>0</v>
      </c>
      <c r="F25" s="172">
        <f>M25+T25+AA25+AH25</f>
        <v>4.0092400000000001</v>
      </c>
      <c r="G25" s="172">
        <f t="shared" ref="G25:G31" si="6">N25+U25+AB25+AI25</f>
        <v>0.25</v>
      </c>
      <c r="H25" s="172">
        <f t="shared" ref="H25:H31" si="7">O25+V25+AC25+AJ25</f>
        <v>0</v>
      </c>
      <c r="I25" s="172">
        <f>I31</f>
        <v>1.86</v>
      </c>
      <c r="J25" s="172">
        <f t="shared" ref="J25:J31" si="8">Q25+X25+AE25+AL25</f>
        <v>0</v>
      </c>
      <c r="K25" s="172">
        <f t="shared" ref="K25:K31" si="9">R25+Y25+AF25+AM25</f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f>AH31</f>
        <v>4.0092400000000001</v>
      </c>
      <c r="AI25" s="172">
        <f t="shared" ref="AI25:AM25" si="10">AI31</f>
        <v>0.25</v>
      </c>
      <c r="AJ25" s="172">
        <f t="shared" si="10"/>
        <v>0</v>
      </c>
      <c r="AK25" s="172">
        <f t="shared" si="10"/>
        <v>1.5</v>
      </c>
      <c r="AL25" s="172">
        <f t="shared" si="10"/>
        <v>0</v>
      </c>
      <c r="AM25" s="172">
        <f t="shared" si="10"/>
        <v>0</v>
      </c>
      <c r="AN25" s="174">
        <f>AU25+BB25+BI25+BP25</f>
        <v>0</v>
      </c>
      <c r="AO25" s="174">
        <f>AV25+BC25+BJ25+BQ25</f>
        <v>3.8056329699999996</v>
      </c>
      <c r="AP25" s="174">
        <f t="shared" ref="AP25:AP100" si="11">AW25+BD25+BK25+BR25</f>
        <v>0</v>
      </c>
      <c r="AQ25" s="174">
        <f t="shared" ref="AQ25:AQ100" si="12">AX25+BE25+BL25+BS25</f>
        <v>0</v>
      </c>
      <c r="AR25" s="174">
        <f t="shared" ref="AR25:AR100" si="13">AY25+BF25+BM25+BT25</f>
        <v>4.777000000000001</v>
      </c>
      <c r="AS25" s="174">
        <f t="shared" ref="AS25:AS100" si="14">AZ25+BG25+BN25+BU25</f>
        <v>0</v>
      </c>
      <c r="AT25" s="174">
        <f t="shared" ref="AT25:AT100" si="15">BA25+BH25+BO25+BV25</f>
        <v>0</v>
      </c>
      <c r="AU25" s="174">
        <f t="shared" ref="AU25:BV25" si="16">AU31+AU60+AU63+AU72</f>
        <v>0</v>
      </c>
      <c r="AV25" s="174">
        <f>AV31+AV60+AV63+AV72</f>
        <v>2.538325E-2</v>
      </c>
      <c r="AW25" s="174">
        <f t="shared" si="16"/>
        <v>0</v>
      </c>
      <c r="AX25" s="174">
        <f t="shared" si="16"/>
        <v>0</v>
      </c>
      <c r="AY25" s="174">
        <f t="shared" si="16"/>
        <v>0.3</v>
      </c>
      <c r="AZ25" s="174">
        <f t="shared" si="16"/>
        <v>0</v>
      </c>
      <c r="BA25" s="174">
        <f t="shared" si="16"/>
        <v>0</v>
      </c>
      <c r="BB25" s="174">
        <f t="shared" si="16"/>
        <v>0</v>
      </c>
      <c r="BC25" s="174">
        <f t="shared" si="16"/>
        <v>1.2988735299999998</v>
      </c>
      <c r="BD25" s="174">
        <f t="shared" si="16"/>
        <v>0</v>
      </c>
      <c r="BE25" s="174">
        <f t="shared" si="16"/>
        <v>0</v>
      </c>
      <c r="BF25" s="174">
        <f t="shared" si="16"/>
        <v>1.28</v>
      </c>
      <c r="BG25" s="174">
        <f t="shared" si="16"/>
        <v>0</v>
      </c>
      <c r="BH25" s="174">
        <f t="shared" si="16"/>
        <v>0</v>
      </c>
      <c r="BI25" s="174">
        <f t="shared" si="16"/>
        <v>0</v>
      </c>
      <c r="BJ25" s="174">
        <f t="shared" si="16"/>
        <v>0.81815051999999999</v>
      </c>
      <c r="BK25" s="174">
        <f t="shared" si="16"/>
        <v>0</v>
      </c>
      <c r="BL25" s="174">
        <f t="shared" si="16"/>
        <v>0</v>
      </c>
      <c r="BM25" s="174">
        <f t="shared" si="16"/>
        <v>0.90500000000000003</v>
      </c>
      <c r="BN25" s="174">
        <f t="shared" si="16"/>
        <v>0</v>
      </c>
      <c r="BO25" s="174">
        <f t="shared" si="16"/>
        <v>0</v>
      </c>
      <c r="BP25" s="174">
        <f t="shared" si="16"/>
        <v>0</v>
      </c>
      <c r="BQ25" s="174">
        <f t="shared" si="16"/>
        <v>1.6632256699999999</v>
      </c>
      <c r="BR25" s="174">
        <f t="shared" si="16"/>
        <v>0</v>
      </c>
      <c r="BS25" s="174">
        <f t="shared" si="16"/>
        <v>0</v>
      </c>
      <c r="BT25" s="174">
        <f t="shared" si="16"/>
        <v>2.2920000000000003</v>
      </c>
      <c r="BU25" s="174">
        <f t="shared" si="16"/>
        <v>0</v>
      </c>
      <c r="BV25" s="174">
        <f t="shared" si="16"/>
        <v>0</v>
      </c>
      <c r="BW25" s="174">
        <f t="shared" ref="BW25:BW100" si="17">E25-AN25</f>
        <v>0</v>
      </c>
      <c r="BX25" s="219">
        <v>0</v>
      </c>
      <c r="BY25" s="173">
        <f t="shared" ref="BY25:BY88" si="18">F25-AO25</f>
        <v>0.20360703000000058</v>
      </c>
      <c r="BZ25" s="67"/>
      <c r="CA25" s="136">
        <f>'10'!T23</f>
        <v>0</v>
      </c>
    </row>
    <row r="26" spans="1:80" ht="47.25">
      <c r="A26" s="135" t="s">
        <v>879</v>
      </c>
      <c r="B26" s="132" t="s">
        <v>880</v>
      </c>
      <c r="C26" s="138" t="s">
        <v>876</v>
      </c>
      <c r="D26" s="524">
        <f t="shared" si="4"/>
        <v>6.4691525423728802</v>
      </c>
      <c r="E26" s="172">
        <f t="shared" si="5"/>
        <v>0</v>
      </c>
      <c r="F26" s="172">
        <f t="shared" ref="F26:F30" si="19">M26+T26+AA26+AH26</f>
        <v>6.4691525423728802</v>
      </c>
      <c r="G26" s="172">
        <f t="shared" si="6"/>
        <v>0</v>
      </c>
      <c r="H26" s="172">
        <f t="shared" si="7"/>
        <v>0</v>
      </c>
      <c r="I26" s="172">
        <f t="shared" ref="I26:I30" si="20">P26+W26+AD26+AK26</f>
        <v>2.7749999999999999</v>
      </c>
      <c r="J26" s="172">
        <f t="shared" si="8"/>
        <v>0</v>
      </c>
      <c r="K26" s="172">
        <f t="shared" si="9"/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6.4691525423728802</v>
      </c>
      <c r="AI26" s="172">
        <v>0</v>
      </c>
      <c r="AJ26" s="172">
        <v>0</v>
      </c>
      <c r="AK26" s="172">
        <v>2.7749999999999999</v>
      </c>
      <c r="AL26" s="172">
        <v>0</v>
      </c>
      <c r="AM26" s="172">
        <v>0</v>
      </c>
      <c r="AN26" s="174">
        <f t="shared" ref="AN26:AN100" si="21">AU26+BB26+BI26+BP26</f>
        <v>0</v>
      </c>
      <c r="AO26" s="174">
        <f t="shared" ref="AO26:AO100" si="22">AV26+BC26+BJ26+BQ26</f>
        <v>6.1723000013559313</v>
      </c>
      <c r="AP26" s="174">
        <f t="shared" si="11"/>
        <v>0</v>
      </c>
      <c r="AQ26" s="174">
        <f t="shared" si="12"/>
        <v>0</v>
      </c>
      <c r="AR26" s="174">
        <f t="shared" si="13"/>
        <v>2.7749999999999999</v>
      </c>
      <c r="AS26" s="174">
        <f t="shared" si="14"/>
        <v>0</v>
      </c>
      <c r="AT26" s="174">
        <f t="shared" si="15"/>
        <v>0</v>
      </c>
      <c r="AU26" s="174">
        <f t="shared" ref="AU26:BV26" si="23">AU75</f>
        <v>0</v>
      </c>
      <c r="AV26" s="174">
        <f t="shared" si="23"/>
        <v>0.39</v>
      </c>
      <c r="AW26" s="174">
        <f t="shared" si="23"/>
        <v>0</v>
      </c>
      <c r="AX26" s="174">
        <f t="shared" si="23"/>
        <v>0</v>
      </c>
      <c r="AY26" s="174">
        <f t="shared" si="23"/>
        <v>0</v>
      </c>
      <c r="AZ26" s="174">
        <f t="shared" si="23"/>
        <v>0</v>
      </c>
      <c r="BA26" s="174">
        <f t="shared" si="23"/>
        <v>0</v>
      </c>
      <c r="BB26" s="174">
        <f t="shared" si="23"/>
        <v>0</v>
      </c>
      <c r="BC26" s="174">
        <f t="shared" si="23"/>
        <v>0</v>
      </c>
      <c r="BD26" s="174">
        <f t="shared" si="23"/>
        <v>0</v>
      </c>
      <c r="BE26" s="174">
        <f t="shared" si="23"/>
        <v>0</v>
      </c>
      <c r="BF26" s="174">
        <f t="shared" si="23"/>
        <v>0</v>
      </c>
      <c r="BG26" s="174">
        <f t="shared" si="23"/>
        <v>0</v>
      </c>
      <c r="BH26" s="174">
        <f t="shared" si="23"/>
        <v>0</v>
      </c>
      <c r="BI26" s="174">
        <f t="shared" si="23"/>
        <v>0</v>
      </c>
      <c r="BJ26" s="174">
        <f t="shared" si="23"/>
        <v>0</v>
      </c>
      <c r="BK26" s="174">
        <f t="shared" si="23"/>
        <v>0</v>
      </c>
      <c r="BL26" s="174">
        <f t="shared" si="23"/>
        <v>0</v>
      </c>
      <c r="BM26" s="174">
        <f t="shared" si="23"/>
        <v>0</v>
      </c>
      <c r="BN26" s="174">
        <f t="shared" si="23"/>
        <v>0</v>
      </c>
      <c r="BO26" s="174">
        <f t="shared" si="23"/>
        <v>0</v>
      </c>
      <c r="BP26" s="174">
        <f t="shared" si="23"/>
        <v>0</v>
      </c>
      <c r="BQ26" s="174">
        <f t="shared" si="23"/>
        <v>5.7823000013559316</v>
      </c>
      <c r="BR26" s="174">
        <f t="shared" si="23"/>
        <v>0</v>
      </c>
      <c r="BS26" s="174">
        <f t="shared" si="23"/>
        <v>0</v>
      </c>
      <c r="BT26" s="174">
        <f t="shared" si="23"/>
        <v>2.7749999999999999</v>
      </c>
      <c r="BU26" s="174">
        <f t="shared" si="23"/>
        <v>0</v>
      </c>
      <c r="BV26" s="174">
        <f t="shared" si="23"/>
        <v>0</v>
      </c>
      <c r="BW26" s="174">
        <f t="shared" si="17"/>
        <v>0</v>
      </c>
      <c r="BX26" s="219">
        <v>0</v>
      </c>
      <c r="BY26" s="173">
        <f t="shared" si="18"/>
        <v>0.29685254101694891</v>
      </c>
      <c r="BZ26" s="67"/>
      <c r="CA26" s="136">
        <f>'10'!T24</f>
        <v>0</v>
      </c>
    </row>
    <row r="27" spans="1:80" s="105" customFormat="1" ht="110.25">
      <c r="A27" s="135" t="s">
        <v>881</v>
      </c>
      <c r="B27" s="132" t="s">
        <v>882</v>
      </c>
      <c r="C27" s="138" t="s">
        <v>876</v>
      </c>
      <c r="D27" s="524">
        <f t="shared" si="4"/>
        <v>0</v>
      </c>
      <c r="E27" s="172">
        <f t="shared" si="5"/>
        <v>0</v>
      </c>
      <c r="F27" s="172">
        <f t="shared" si="19"/>
        <v>0</v>
      </c>
      <c r="G27" s="172">
        <f t="shared" si="6"/>
        <v>0</v>
      </c>
      <c r="H27" s="172">
        <f t="shared" si="7"/>
        <v>0</v>
      </c>
      <c r="I27" s="172">
        <f t="shared" si="20"/>
        <v>0</v>
      </c>
      <c r="J27" s="172">
        <f t="shared" si="8"/>
        <v>0</v>
      </c>
      <c r="K27" s="172">
        <f t="shared" si="9"/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0</v>
      </c>
      <c r="AF27" s="172">
        <v>0</v>
      </c>
      <c r="AG27" s="172">
        <v>0</v>
      </c>
      <c r="AH27" s="172">
        <v>0</v>
      </c>
      <c r="AI27" s="172">
        <v>0</v>
      </c>
      <c r="AJ27" s="172">
        <v>0</v>
      </c>
      <c r="AK27" s="172">
        <v>0</v>
      </c>
      <c r="AL27" s="172">
        <v>0</v>
      </c>
      <c r="AM27" s="172">
        <v>0</v>
      </c>
      <c r="AN27" s="174">
        <f t="shared" si="21"/>
        <v>0</v>
      </c>
      <c r="AO27" s="174">
        <f t="shared" si="22"/>
        <v>0</v>
      </c>
      <c r="AP27" s="174">
        <f t="shared" si="11"/>
        <v>0</v>
      </c>
      <c r="AQ27" s="174">
        <f t="shared" si="12"/>
        <v>0</v>
      </c>
      <c r="AR27" s="174">
        <f t="shared" si="13"/>
        <v>0</v>
      </c>
      <c r="AS27" s="174">
        <f t="shared" si="14"/>
        <v>0</v>
      </c>
      <c r="AT27" s="174">
        <f t="shared" si="15"/>
        <v>0</v>
      </c>
      <c r="AU27" s="174">
        <f t="shared" ref="AU27:BV27" si="24">AU101</f>
        <v>0</v>
      </c>
      <c r="AV27" s="174">
        <f t="shared" si="24"/>
        <v>0</v>
      </c>
      <c r="AW27" s="174">
        <f t="shared" si="24"/>
        <v>0</v>
      </c>
      <c r="AX27" s="174">
        <f t="shared" si="24"/>
        <v>0</v>
      </c>
      <c r="AY27" s="174">
        <f t="shared" si="24"/>
        <v>0</v>
      </c>
      <c r="AZ27" s="174">
        <f t="shared" si="24"/>
        <v>0</v>
      </c>
      <c r="BA27" s="174">
        <f t="shared" si="24"/>
        <v>0</v>
      </c>
      <c r="BB27" s="174">
        <f t="shared" si="24"/>
        <v>0</v>
      </c>
      <c r="BC27" s="174">
        <f t="shared" si="24"/>
        <v>0</v>
      </c>
      <c r="BD27" s="174">
        <f t="shared" si="24"/>
        <v>0</v>
      </c>
      <c r="BE27" s="174">
        <f t="shared" si="24"/>
        <v>0</v>
      </c>
      <c r="BF27" s="174">
        <f t="shared" si="24"/>
        <v>0</v>
      </c>
      <c r="BG27" s="174">
        <f t="shared" si="24"/>
        <v>0</v>
      </c>
      <c r="BH27" s="174">
        <f t="shared" si="24"/>
        <v>0</v>
      </c>
      <c r="BI27" s="174">
        <f t="shared" si="24"/>
        <v>0</v>
      </c>
      <c r="BJ27" s="174">
        <f t="shared" si="24"/>
        <v>0</v>
      </c>
      <c r="BK27" s="174">
        <f t="shared" si="24"/>
        <v>0</v>
      </c>
      <c r="BL27" s="174">
        <f t="shared" si="24"/>
        <v>0</v>
      </c>
      <c r="BM27" s="174">
        <f t="shared" si="24"/>
        <v>0</v>
      </c>
      <c r="BN27" s="174">
        <f t="shared" si="24"/>
        <v>0</v>
      </c>
      <c r="BO27" s="174">
        <f t="shared" si="24"/>
        <v>0</v>
      </c>
      <c r="BP27" s="174">
        <f t="shared" si="24"/>
        <v>0</v>
      </c>
      <c r="BQ27" s="174">
        <f t="shared" si="24"/>
        <v>0</v>
      </c>
      <c r="BR27" s="174">
        <f t="shared" si="24"/>
        <v>0</v>
      </c>
      <c r="BS27" s="174">
        <f t="shared" si="24"/>
        <v>0</v>
      </c>
      <c r="BT27" s="174">
        <f t="shared" si="24"/>
        <v>0</v>
      </c>
      <c r="BU27" s="174">
        <f t="shared" si="24"/>
        <v>0</v>
      </c>
      <c r="BV27" s="174">
        <f t="shared" si="24"/>
        <v>0</v>
      </c>
      <c r="BW27" s="174">
        <f t="shared" si="17"/>
        <v>0</v>
      </c>
      <c r="BX27" s="219">
        <v>0</v>
      </c>
      <c r="BY27" s="173">
        <f t="shared" si="18"/>
        <v>0</v>
      </c>
      <c r="BZ27" s="67"/>
      <c r="CA27" s="136">
        <f>'10'!T25</f>
        <v>0</v>
      </c>
      <c r="CB27" s="60"/>
    </row>
    <row r="28" spans="1:80" s="105" customFormat="1" ht="31.5">
      <c r="A28" s="146" t="s">
        <v>883</v>
      </c>
      <c r="B28" s="144" t="s">
        <v>884</v>
      </c>
      <c r="C28" s="138" t="s">
        <v>876</v>
      </c>
      <c r="D28" s="524">
        <f t="shared" si="4"/>
        <v>0</v>
      </c>
      <c r="E28" s="172">
        <f t="shared" si="5"/>
        <v>0</v>
      </c>
      <c r="F28" s="172">
        <f t="shared" si="19"/>
        <v>0</v>
      </c>
      <c r="G28" s="172">
        <f t="shared" si="6"/>
        <v>0</v>
      </c>
      <c r="H28" s="172">
        <f t="shared" si="7"/>
        <v>0</v>
      </c>
      <c r="I28" s="172">
        <f t="shared" si="20"/>
        <v>0</v>
      </c>
      <c r="J28" s="172">
        <f t="shared" si="8"/>
        <v>0</v>
      </c>
      <c r="K28" s="172">
        <f t="shared" si="9"/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4">
        <f t="shared" si="21"/>
        <v>0</v>
      </c>
      <c r="AO28" s="174">
        <f t="shared" si="22"/>
        <v>0</v>
      </c>
      <c r="AP28" s="174">
        <f t="shared" si="11"/>
        <v>0</v>
      </c>
      <c r="AQ28" s="174">
        <f t="shared" si="12"/>
        <v>0</v>
      </c>
      <c r="AR28" s="174">
        <f t="shared" si="13"/>
        <v>0</v>
      </c>
      <c r="AS28" s="174">
        <f t="shared" si="14"/>
        <v>0</v>
      </c>
      <c r="AT28" s="174">
        <f t="shared" si="15"/>
        <v>0</v>
      </c>
      <c r="AU28" s="174">
        <f t="shared" ref="AU28:BV28" si="25">AU104</f>
        <v>0</v>
      </c>
      <c r="AV28" s="174">
        <f t="shared" si="25"/>
        <v>0</v>
      </c>
      <c r="AW28" s="174">
        <f t="shared" si="25"/>
        <v>0</v>
      </c>
      <c r="AX28" s="174">
        <f t="shared" si="25"/>
        <v>0</v>
      </c>
      <c r="AY28" s="174">
        <f t="shared" si="25"/>
        <v>0</v>
      </c>
      <c r="AZ28" s="174">
        <f t="shared" si="25"/>
        <v>0</v>
      </c>
      <c r="BA28" s="174">
        <f t="shared" si="25"/>
        <v>0</v>
      </c>
      <c r="BB28" s="174">
        <f t="shared" si="25"/>
        <v>0</v>
      </c>
      <c r="BC28" s="174">
        <f t="shared" si="25"/>
        <v>0</v>
      </c>
      <c r="BD28" s="174">
        <f t="shared" si="25"/>
        <v>0</v>
      </c>
      <c r="BE28" s="174">
        <f t="shared" si="25"/>
        <v>0</v>
      </c>
      <c r="BF28" s="174">
        <f t="shared" si="25"/>
        <v>0</v>
      </c>
      <c r="BG28" s="174">
        <f t="shared" si="25"/>
        <v>0</v>
      </c>
      <c r="BH28" s="174">
        <f t="shared" si="25"/>
        <v>0</v>
      </c>
      <c r="BI28" s="174">
        <f t="shared" si="25"/>
        <v>0</v>
      </c>
      <c r="BJ28" s="174">
        <f t="shared" si="25"/>
        <v>0</v>
      </c>
      <c r="BK28" s="174">
        <f t="shared" si="25"/>
        <v>0</v>
      </c>
      <c r="BL28" s="174">
        <f t="shared" si="25"/>
        <v>0</v>
      </c>
      <c r="BM28" s="174">
        <f t="shared" si="25"/>
        <v>0</v>
      </c>
      <c r="BN28" s="174">
        <f t="shared" si="25"/>
        <v>0</v>
      </c>
      <c r="BO28" s="174">
        <f t="shared" si="25"/>
        <v>0</v>
      </c>
      <c r="BP28" s="174">
        <f t="shared" si="25"/>
        <v>0</v>
      </c>
      <c r="BQ28" s="174">
        <f t="shared" si="25"/>
        <v>0</v>
      </c>
      <c r="BR28" s="174">
        <f t="shared" si="25"/>
        <v>0</v>
      </c>
      <c r="BS28" s="174">
        <f t="shared" si="25"/>
        <v>0</v>
      </c>
      <c r="BT28" s="174">
        <f t="shared" si="25"/>
        <v>0</v>
      </c>
      <c r="BU28" s="174">
        <f t="shared" si="25"/>
        <v>0</v>
      </c>
      <c r="BV28" s="174">
        <f t="shared" si="25"/>
        <v>0</v>
      </c>
      <c r="BW28" s="174">
        <f t="shared" si="17"/>
        <v>0</v>
      </c>
      <c r="BX28" s="219">
        <v>0</v>
      </c>
      <c r="BY28" s="173">
        <f t="shared" si="18"/>
        <v>0</v>
      </c>
      <c r="BZ28" s="67"/>
      <c r="CA28" s="136">
        <f>'10'!T26</f>
        <v>0</v>
      </c>
      <c r="CB28" s="60"/>
    </row>
    <row r="29" spans="1:80" s="105" customFormat="1" ht="47.25">
      <c r="A29" s="146" t="s">
        <v>885</v>
      </c>
      <c r="B29" s="144" t="s">
        <v>886</v>
      </c>
      <c r="C29" s="138" t="s">
        <v>876</v>
      </c>
      <c r="D29" s="524">
        <f t="shared" si="4"/>
        <v>0</v>
      </c>
      <c r="E29" s="172">
        <f t="shared" si="5"/>
        <v>0</v>
      </c>
      <c r="F29" s="172">
        <f t="shared" si="19"/>
        <v>0</v>
      </c>
      <c r="G29" s="172">
        <f t="shared" si="6"/>
        <v>0</v>
      </c>
      <c r="H29" s="172">
        <f t="shared" si="7"/>
        <v>0</v>
      </c>
      <c r="I29" s="172">
        <f t="shared" si="20"/>
        <v>0</v>
      </c>
      <c r="J29" s="172">
        <f t="shared" si="8"/>
        <v>0</v>
      </c>
      <c r="K29" s="172">
        <f t="shared" si="9"/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0</v>
      </c>
      <c r="AF29" s="172">
        <v>0</v>
      </c>
      <c r="AG29" s="172">
        <v>0</v>
      </c>
      <c r="AH29" s="172">
        <v>0</v>
      </c>
      <c r="AI29" s="172">
        <v>0</v>
      </c>
      <c r="AJ29" s="172">
        <v>0</v>
      </c>
      <c r="AK29" s="172">
        <v>0</v>
      </c>
      <c r="AL29" s="172">
        <v>0</v>
      </c>
      <c r="AM29" s="172">
        <v>0</v>
      </c>
      <c r="AN29" s="174">
        <f t="shared" si="21"/>
        <v>0</v>
      </c>
      <c r="AO29" s="174">
        <f t="shared" si="22"/>
        <v>0</v>
      </c>
      <c r="AP29" s="174">
        <f t="shared" si="11"/>
        <v>0</v>
      </c>
      <c r="AQ29" s="174">
        <f t="shared" si="12"/>
        <v>0</v>
      </c>
      <c r="AR29" s="174">
        <f t="shared" si="13"/>
        <v>0</v>
      </c>
      <c r="AS29" s="174">
        <f t="shared" si="14"/>
        <v>0</v>
      </c>
      <c r="AT29" s="174">
        <f t="shared" si="15"/>
        <v>0</v>
      </c>
      <c r="AU29" s="174">
        <f t="shared" ref="AU29:BV29" si="26">AU107</f>
        <v>0</v>
      </c>
      <c r="AV29" s="174">
        <f t="shared" si="26"/>
        <v>0</v>
      </c>
      <c r="AW29" s="174">
        <f t="shared" si="26"/>
        <v>0</v>
      </c>
      <c r="AX29" s="174">
        <f t="shared" si="26"/>
        <v>0</v>
      </c>
      <c r="AY29" s="174">
        <f t="shared" si="26"/>
        <v>0</v>
      </c>
      <c r="AZ29" s="174">
        <f t="shared" si="26"/>
        <v>0</v>
      </c>
      <c r="BA29" s="174">
        <f t="shared" si="26"/>
        <v>0</v>
      </c>
      <c r="BB29" s="174">
        <f t="shared" si="26"/>
        <v>0</v>
      </c>
      <c r="BC29" s="174">
        <f t="shared" si="26"/>
        <v>0</v>
      </c>
      <c r="BD29" s="174">
        <f t="shared" si="26"/>
        <v>0</v>
      </c>
      <c r="BE29" s="174">
        <f t="shared" si="26"/>
        <v>0</v>
      </c>
      <c r="BF29" s="174">
        <f t="shared" si="26"/>
        <v>0</v>
      </c>
      <c r="BG29" s="174">
        <f t="shared" si="26"/>
        <v>0</v>
      </c>
      <c r="BH29" s="174">
        <f t="shared" si="26"/>
        <v>0</v>
      </c>
      <c r="BI29" s="174">
        <f t="shared" si="26"/>
        <v>0</v>
      </c>
      <c r="BJ29" s="174">
        <f t="shared" si="26"/>
        <v>0</v>
      </c>
      <c r="BK29" s="174">
        <f t="shared" si="26"/>
        <v>0</v>
      </c>
      <c r="BL29" s="174">
        <f t="shared" si="26"/>
        <v>0</v>
      </c>
      <c r="BM29" s="174">
        <f t="shared" si="26"/>
        <v>0</v>
      </c>
      <c r="BN29" s="174">
        <f t="shared" si="26"/>
        <v>0</v>
      </c>
      <c r="BO29" s="174">
        <f t="shared" si="26"/>
        <v>0</v>
      </c>
      <c r="BP29" s="174">
        <f t="shared" si="26"/>
        <v>0</v>
      </c>
      <c r="BQ29" s="174">
        <f t="shared" si="26"/>
        <v>0</v>
      </c>
      <c r="BR29" s="174">
        <f t="shared" si="26"/>
        <v>0</v>
      </c>
      <c r="BS29" s="174">
        <f t="shared" si="26"/>
        <v>0</v>
      </c>
      <c r="BT29" s="174">
        <f t="shared" si="26"/>
        <v>0</v>
      </c>
      <c r="BU29" s="174">
        <f t="shared" si="26"/>
        <v>0</v>
      </c>
      <c r="BV29" s="174">
        <f t="shared" si="26"/>
        <v>0</v>
      </c>
      <c r="BW29" s="174">
        <f t="shared" si="17"/>
        <v>0</v>
      </c>
      <c r="BX29" s="219">
        <v>0</v>
      </c>
      <c r="BY29" s="173">
        <f t="shared" si="18"/>
        <v>0</v>
      </c>
      <c r="BZ29" s="67"/>
      <c r="CA29" s="136">
        <f>'10'!T27</f>
        <v>0</v>
      </c>
      <c r="CB29" s="60"/>
    </row>
    <row r="30" spans="1:80" s="105" customFormat="1">
      <c r="A30" s="146" t="s">
        <v>887</v>
      </c>
      <c r="B30" s="144" t="s">
        <v>888</v>
      </c>
      <c r="C30" s="138" t="s">
        <v>876</v>
      </c>
      <c r="D30" s="524">
        <f t="shared" si="4"/>
        <v>7.3191999999999993E-2</v>
      </c>
      <c r="E30" s="172">
        <f t="shared" si="5"/>
        <v>0</v>
      </c>
      <c r="F30" s="172">
        <f t="shared" si="19"/>
        <v>7.3191999999999993E-2</v>
      </c>
      <c r="G30" s="172">
        <f t="shared" si="6"/>
        <v>0</v>
      </c>
      <c r="H30" s="172">
        <f t="shared" si="7"/>
        <v>0</v>
      </c>
      <c r="I30" s="172">
        <f t="shared" si="20"/>
        <v>0</v>
      </c>
      <c r="J30" s="172">
        <f t="shared" si="8"/>
        <v>0</v>
      </c>
      <c r="K30" s="172">
        <f t="shared" si="9"/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7.3191999999999993E-2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4">
        <f t="shared" si="21"/>
        <v>0</v>
      </c>
      <c r="AO30" s="174">
        <f t="shared" si="22"/>
        <v>7.2999999999999995E-2</v>
      </c>
      <c r="AP30" s="174">
        <f t="shared" si="11"/>
        <v>0</v>
      </c>
      <c r="AQ30" s="174">
        <f t="shared" si="12"/>
        <v>0</v>
      </c>
      <c r="AR30" s="174">
        <f t="shared" si="13"/>
        <v>0</v>
      </c>
      <c r="AS30" s="174">
        <f t="shared" si="14"/>
        <v>0</v>
      </c>
      <c r="AT30" s="174">
        <f t="shared" si="15"/>
        <v>0</v>
      </c>
      <c r="AU30" s="174">
        <f t="shared" ref="AU30:BV30" si="27">AU108</f>
        <v>0</v>
      </c>
      <c r="AV30" s="174">
        <f t="shared" si="27"/>
        <v>0</v>
      </c>
      <c r="AW30" s="174">
        <f t="shared" si="27"/>
        <v>0</v>
      </c>
      <c r="AX30" s="174">
        <f t="shared" si="27"/>
        <v>0</v>
      </c>
      <c r="AY30" s="174">
        <f t="shared" si="27"/>
        <v>0</v>
      </c>
      <c r="AZ30" s="174">
        <f t="shared" si="27"/>
        <v>0</v>
      </c>
      <c r="BA30" s="174">
        <f t="shared" si="27"/>
        <v>0</v>
      </c>
      <c r="BB30" s="174">
        <f t="shared" si="27"/>
        <v>0</v>
      </c>
      <c r="BC30" s="174">
        <f t="shared" si="27"/>
        <v>0</v>
      </c>
      <c r="BD30" s="174">
        <f t="shared" si="27"/>
        <v>0</v>
      </c>
      <c r="BE30" s="174">
        <f t="shared" si="27"/>
        <v>0</v>
      </c>
      <c r="BF30" s="174">
        <f t="shared" si="27"/>
        <v>0</v>
      </c>
      <c r="BG30" s="174">
        <f t="shared" si="27"/>
        <v>0</v>
      </c>
      <c r="BH30" s="174">
        <f t="shared" si="27"/>
        <v>0</v>
      </c>
      <c r="BI30" s="174">
        <f t="shared" si="27"/>
        <v>0</v>
      </c>
      <c r="BJ30" s="174">
        <f t="shared" si="27"/>
        <v>7.2999999999999995E-2</v>
      </c>
      <c r="BK30" s="174">
        <f t="shared" si="27"/>
        <v>0</v>
      </c>
      <c r="BL30" s="174">
        <f t="shared" si="27"/>
        <v>0</v>
      </c>
      <c r="BM30" s="174">
        <f t="shared" si="27"/>
        <v>0</v>
      </c>
      <c r="BN30" s="174">
        <f t="shared" si="27"/>
        <v>0</v>
      </c>
      <c r="BO30" s="174">
        <f t="shared" si="27"/>
        <v>0</v>
      </c>
      <c r="BP30" s="174">
        <f t="shared" si="27"/>
        <v>0</v>
      </c>
      <c r="BQ30" s="174">
        <f t="shared" si="27"/>
        <v>0</v>
      </c>
      <c r="BR30" s="174">
        <f t="shared" si="27"/>
        <v>0</v>
      </c>
      <c r="BS30" s="174">
        <f t="shared" si="27"/>
        <v>0</v>
      </c>
      <c r="BT30" s="174">
        <f t="shared" si="27"/>
        <v>0</v>
      </c>
      <c r="BU30" s="174">
        <f t="shared" si="27"/>
        <v>0</v>
      </c>
      <c r="BV30" s="174">
        <f t="shared" si="27"/>
        <v>0</v>
      </c>
      <c r="BW30" s="174">
        <f t="shared" si="17"/>
        <v>0</v>
      </c>
      <c r="BX30" s="219">
        <v>0</v>
      </c>
      <c r="BY30" s="173">
        <f t="shared" si="18"/>
        <v>1.9199999999999773E-4</v>
      </c>
      <c r="BZ30" s="67"/>
      <c r="CA30" s="136">
        <f>'10'!T28</f>
        <v>0</v>
      </c>
      <c r="CB30" s="60"/>
    </row>
    <row r="31" spans="1:80" s="105" customFormat="1" ht="47.25">
      <c r="A31" s="118" t="s">
        <v>743</v>
      </c>
      <c r="B31" s="144" t="s">
        <v>889</v>
      </c>
      <c r="C31" s="125" t="s">
        <v>876</v>
      </c>
      <c r="D31" s="524">
        <f t="shared" si="4"/>
        <v>4.0092400000000001</v>
      </c>
      <c r="E31" s="172">
        <f t="shared" si="5"/>
        <v>0</v>
      </c>
      <c r="F31" s="172">
        <f>M31+T31+AA31+AH31</f>
        <v>4.0092400000000001</v>
      </c>
      <c r="G31" s="172">
        <f t="shared" si="6"/>
        <v>0.25</v>
      </c>
      <c r="H31" s="172">
        <f t="shared" si="7"/>
        <v>0</v>
      </c>
      <c r="I31" s="172">
        <f>I32+I34+I35+I36</f>
        <v>1.86</v>
      </c>
      <c r="J31" s="172">
        <f t="shared" si="8"/>
        <v>0</v>
      </c>
      <c r="K31" s="172">
        <f t="shared" si="9"/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f>AH32</f>
        <v>4.0092400000000001</v>
      </c>
      <c r="AI31" s="175">
        <f t="shared" ref="AI31:AM31" si="28">AI32</f>
        <v>0.25</v>
      </c>
      <c r="AJ31" s="175">
        <f t="shared" si="28"/>
        <v>0</v>
      </c>
      <c r="AK31" s="175">
        <f t="shared" si="28"/>
        <v>1.5</v>
      </c>
      <c r="AL31" s="175">
        <f t="shared" si="28"/>
        <v>0</v>
      </c>
      <c r="AM31" s="175">
        <f t="shared" si="28"/>
        <v>0</v>
      </c>
      <c r="AN31" s="174">
        <f t="shared" si="21"/>
        <v>0</v>
      </c>
      <c r="AO31" s="174">
        <f>AV31+BC31+BJ31+BQ31</f>
        <v>3.8056329699999996</v>
      </c>
      <c r="AP31" s="174">
        <f t="shared" si="11"/>
        <v>0</v>
      </c>
      <c r="AQ31" s="174">
        <f t="shared" si="12"/>
        <v>0</v>
      </c>
      <c r="AR31" s="174">
        <f t="shared" si="13"/>
        <v>4.777000000000001</v>
      </c>
      <c r="AS31" s="174">
        <f t="shared" si="14"/>
        <v>0</v>
      </c>
      <c r="AT31" s="174">
        <f t="shared" si="15"/>
        <v>0</v>
      </c>
      <c r="AU31" s="174">
        <f t="shared" ref="AU31:BV31" si="29">AU32+AU52+AU59</f>
        <v>0</v>
      </c>
      <c r="AV31" s="174">
        <f>AV32+AV52+AV59</f>
        <v>2.538325E-2</v>
      </c>
      <c r="AW31" s="174">
        <f t="shared" si="29"/>
        <v>0</v>
      </c>
      <c r="AX31" s="174">
        <f t="shared" si="29"/>
        <v>0</v>
      </c>
      <c r="AY31" s="174">
        <f t="shared" si="29"/>
        <v>0.3</v>
      </c>
      <c r="AZ31" s="174">
        <f t="shared" si="29"/>
        <v>0</v>
      </c>
      <c r="BA31" s="174">
        <f t="shared" si="29"/>
        <v>0</v>
      </c>
      <c r="BB31" s="174">
        <f>BB32+BB52+BB59</f>
        <v>0</v>
      </c>
      <c r="BC31" s="174">
        <f t="shared" si="29"/>
        <v>1.2988735299999998</v>
      </c>
      <c r="BD31" s="174">
        <f t="shared" si="29"/>
        <v>0</v>
      </c>
      <c r="BE31" s="174">
        <f t="shared" si="29"/>
        <v>0</v>
      </c>
      <c r="BF31" s="174">
        <f t="shared" si="29"/>
        <v>1.28</v>
      </c>
      <c r="BG31" s="174">
        <f t="shared" si="29"/>
        <v>0</v>
      </c>
      <c r="BH31" s="174">
        <f t="shared" si="29"/>
        <v>0</v>
      </c>
      <c r="BI31" s="174">
        <f t="shared" si="29"/>
        <v>0</v>
      </c>
      <c r="BJ31" s="174">
        <f t="shared" si="29"/>
        <v>0.81815051999999999</v>
      </c>
      <c r="BK31" s="174">
        <f t="shared" si="29"/>
        <v>0</v>
      </c>
      <c r="BL31" s="174">
        <f t="shared" si="29"/>
        <v>0</v>
      </c>
      <c r="BM31" s="174">
        <f t="shared" si="29"/>
        <v>0.90500000000000003</v>
      </c>
      <c r="BN31" s="174">
        <f t="shared" si="29"/>
        <v>0</v>
      </c>
      <c r="BO31" s="174">
        <f t="shared" si="29"/>
        <v>0</v>
      </c>
      <c r="BP31" s="174">
        <f t="shared" si="29"/>
        <v>0</v>
      </c>
      <c r="BQ31" s="174">
        <f t="shared" si="29"/>
        <v>1.6632256699999999</v>
      </c>
      <c r="BR31" s="174">
        <f t="shared" si="29"/>
        <v>0</v>
      </c>
      <c r="BS31" s="174">
        <f t="shared" si="29"/>
        <v>0</v>
      </c>
      <c r="BT31" s="174">
        <f t="shared" si="29"/>
        <v>2.2920000000000003</v>
      </c>
      <c r="BU31" s="174">
        <f t="shared" si="29"/>
        <v>0</v>
      </c>
      <c r="BV31" s="174">
        <f t="shared" si="29"/>
        <v>0</v>
      </c>
      <c r="BW31" s="174">
        <f t="shared" si="17"/>
        <v>0</v>
      </c>
      <c r="BX31" s="219">
        <v>0</v>
      </c>
      <c r="BY31" s="173">
        <f t="shared" si="18"/>
        <v>0.20360703000000058</v>
      </c>
      <c r="BZ31" s="67"/>
      <c r="CA31" s="136">
        <f>'10'!T29</f>
        <v>0</v>
      </c>
      <c r="CB31" s="60"/>
    </row>
    <row r="32" spans="1:80" s="105" customFormat="1" ht="63">
      <c r="A32" s="146" t="s">
        <v>387</v>
      </c>
      <c r="B32" s="144" t="s">
        <v>890</v>
      </c>
      <c r="C32" s="125" t="s">
        <v>876</v>
      </c>
      <c r="D32" s="524">
        <f t="shared" si="4"/>
        <v>4.0092400000000001</v>
      </c>
      <c r="E32" s="172">
        <f t="shared" ref="E32:E83" si="30">L32+S32+Z32+AG32</f>
        <v>0</v>
      </c>
      <c r="F32" s="172">
        <f t="shared" ref="F32:F80" si="31">M32+T32+AA32+AH32</f>
        <v>4.0092400000000001</v>
      </c>
      <c r="G32" s="172">
        <f t="shared" ref="G32:G83" si="32">N32+U32+AB32+AI32</f>
        <v>0.25</v>
      </c>
      <c r="H32" s="172">
        <f t="shared" ref="H32:H83" si="33">O32+V32+AC32+AJ32</f>
        <v>0</v>
      </c>
      <c r="I32" s="172">
        <f>P32+W32+AD32+AK32</f>
        <v>1.5</v>
      </c>
      <c r="J32" s="172">
        <f t="shared" ref="J32:J83" si="34">Q32+X32+AE32+AL32</f>
        <v>0</v>
      </c>
      <c r="K32" s="172">
        <f t="shared" ref="K32:K83" si="35">R32+Y32+AF32+AM32</f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f>AH33</f>
        <v>4.0092400000000001</v>
      </c>
      <c r="AI32" s="177">
        <f t="shared" ref="AI32:AM32" si="36">AI33</f>
        <v>0.25</v>
      </c>
      <c r="AJ32" s="177">
        <f t="shared" si="36"/>
        <v>0</v>
      </c>
      <c r="AK32" s="177">
        <f t="shared" si="36"/>
        <v>1.5</v>
      </c>
      <c r="AL32" s="177">
        <f t="shared" si="36"/>
        <v>0</v>
      </c>
      <c r="AM32" s="177">
        <f t="shared" si="36"/>
        <v>0</v>
      </c>
      <c r="AN32" s="174">
        <f t="shared" si="21"/>
        <v>0</v>
      </c>
      <c r="AO32" s="174">
        <f t="shared" si="22"/>
        <v>2.0473076999999997</v>
      </c>
      <c r="AP32" s="174">
        <f t="shared" si="11"/>
        <v>0</v>
      </c>
      <c r="AQ32" s="174">
        <f t="shared" si="12"/>
        <v>0</v>
      </c>
      <c r="AR32" s="174">
        <f t="shared" si="13"/>
        <v>3.1290000000000004</v>
      </c>
      <c r="AS32" s="174">
        <f t="shared" si="14"/>
        <v>0</v>
      </c>
      <c r="AT32" s="174">
        <f t="shared" si="15"/>
        <v>0</v>
      </c>
      <c r="AU32" s="174">
        <f t="shared" ref="AU32:BV32" si="37">AU33</f>
        <v>0</v>
      </c>
      <c r="AV32" s="174">
        <f t="shared" si="37"/>
        <v>2.538325E-2</v>
      </c>
      <c r="AW32" s="174">
        <f t="shared" si="37"/>
        <v>0</v>
      </c>
      <c r="AX32" s="174">
        <f t="shared" si="37"/>
        <v>0</v>
      </c>
      <c r="AY32" s="174">
        <f>AY33</f>
        <v>0.3</v>
      </c>
      <c r="AZ32" s="174">
        <f t="shared" si="37"/>
        <v>0</v>
      </c>
      <c r="BA32" s="174">
        <f t="shared" si="37"/>
        <v>0</v>
      </c>
      <c r="BB32" s="174">
        <f t="shared" si="37"/>
        <v>0</v>
      </c>
      <c r="BC32" s="174">
        <f>BC33</f>
        <v>1.1209178899999999</v>
      </c>
      <c r="BD32" s="174">
        <f t="shared" si="37"/>
        <v>0</v>
      </c>
      <c r="BE32" s="174">
        <f t="shared" si="37"/>
        <v>0</v>
      </c>
      <c r="BF32" s="174">
        <f t="shared" si="37"/>
        <v>1.1950000000000001</v>
      </c>
      <c r="BG32" s="174">
        <f t="shared" si="37"/>
        <v>0</v>
      </c>
      <c r="BH32" s="174">
        <f t="shared" si="37"/>
        <v>0</v>
      </c>
      <c r="BI32" s="174">
        <f t="shared" si="37"/>
        <v>0</v>
      </c>
      <c r="BJ32" s="174">
        <f t="shared" si="37"/>
        <v>0.11381358</v>
      </c>
      <c r="BK32" s="174">
        <f t="shared" si="37"/>
        <v>0</v>
      </c>
      <c r="BL32" s="174">
        <f t="shared" si="37"/>
        <v>0</v>
      </c>
      <c r="BM32" s="174">
        <f t="shared" si="37"/>
        <v>8.4999999999999992E-2</v>
      </c>
      <c r="BN32" s="174">
        <f t="shared" si="37"/>
        <v>0</v>
      </c>
      <c r="BO32" s="174">
        <f t="shared" si="37"/>
        <v>0</v>
      </c>
      <c r="BP32" s="174">
        <f t="shared" si="37"/>
        <v>0</v>
      </c>
      <c r="BQ32" s="174">
        <f t="shared" si="37"/>
        <v>0.78719297999999993</v>
      </c>
      <c r="BR32" s="174">
        <f t="shared" si="37"/>
        <v>0</v>
      </c>
      <c r="BS32" s="174">
        <f t="shared" si="37"/>
        <v>0</v>
      </c>
      <c r="BT32" s="174">
        <f t="shared" si="37"/>
        <v>1.5490000000000002</v>
      </c>
      <c r="BU32" s="174">
        <f t="shared" si="37"/>
        <v>0</v>
      </c>
      <c r="BV32" s="174">
        <f t="shared" si="37"/>
        <v>0</v>
      </c>
      <c r="BW32" s="174">
        <f t="shared" si="17"/>
        <v>0</v>
      </c>
      <c r="BX32" s="219">
        <v>0</v>
      </c>
      <c r="BY32" s="173">
        <f t="shared" si="18"/>
        <v>1.9619323000000004</v>
      </c>
      <c r="BZ32" s="67"/>
      <c r="CA32" s="136">
        <f>'10'!T30</f>
        <v>0</v>
      </c>
      <c r="CB32" s="60"/>
    </row>
    <row r="33" spans="1:80" s="65" customFormat="1" ht="141.75">
      <c r="A33" s="146" t="s">
        <v>389</v>
      </c>
      <c r="B33" s="144" t="s">
        <v>891</v>
      </c>
      <c r="C33" s="158" t="s">
        <v>892</v>
      </c>
      <c r="D33" s="524">
        <f t="shared" si="4"/>
        <v>4.0092400000000001</v>
      </c>
      <c r="E33" s="172">
        <f t="shared" si="30"/>
        <v>0</v>
      </c>
      <c r="F33" s="172">
        <f>M33+T33+AA33+AH33</f>
        <v>4.0092400000000001</v>
      </c>
      <c r="G33" s="172">
        <f>N33+U33+AB33+AI33</f>
        <v>0.25</v>
      </c>
      <c r="H33" s="172">
        <f t="shared" si="33"/>
        <v>0</v>
      </c>
      <c r="I33" s="172">
        <f>P33+W33+AD33+AK33</f>
        <v>1.5</v>
      </c>
      <c r="J33" s="172">
        <f t="shared" si="34"/>
        <v>0</v>
      </c>
      <c r="K33" s="172">
        <f t="shared" si="35"/>
        <v>0</v>
      </c>
      <c r="L33" s="178">
        <v>0</v>
      </c>
      <c r="M33" s="172">
        <v>0</v>
      </c>
      <c r="N33" s="178">
        <v>0</v>
      </c>
      <c r="O33" s="172">
        <v>0</v>
      </c>
      <c r="P33" s="178">
        <v>0</v>
      </c>
      <c r="Q33" s="172">
        <v>0</v>
      </c>
      <c r="R33" s="178">
        <v>0</v>
      </c>
      <c r="S33" s="172">
        <v>0</v>
      </c>
      <c r="T33" s="178">
        <v>0</v>
      </c>
      <c r="U33" s="172">
        <v>0</v>
      </c>
      <c r="V33" s="178">
        <v>0</v>
      </c>
      <c r="W33" s="172">
        <v>0</v>
      </c>
      <c r="X33" s="178">
        <v>0</v>
      </c>
      <c r="Y33" s="172">
        <v>0</v>
      </c>
      <c r="Z33" s="172">
        <v>0</v>
      </c>
      <c r="AA33" s="178">
        <v>0</v>
      </c>
      <c r="AB33" s="172">
        <v>0</v>
      </c>
      <c r="AC33" s="178">
        <v>0</v>
      </c>
      <c r="AD33" s="172">
        <v>0</v>
      </c>
      <c r="AE33" s="178">
        <v>0</v>
      </c>
      <c r="AF33" s="172">
        <v>0</v>
      </c>
      <c r="AG33" s="172">
        <v>0</v>
      </c>
      <c r="AH33" s="178">
        <f>4.00924</f>
        <v>4.0092400000000001</v>
      </c>
      <c r="AI33" s="172">
        <v>0.25</v>
      </c>
      <c r="AJ33" s="178">
        <v>0</v>
      </c>
      <c r="AK33" s="172">
        <v>1.5</v>
      </c>
      <c r="AL33" s="178">
        <v>0</v>
      </c>
      <c r="AM33" s="172">
        <v>0</v>
      </c>
      <c r="AN33" s="173">
        <f>AU33+BB33+BI33+BP33</f>
        <v>0</v>
      </c>
      <c r="AO33" s="173">
        <f>AV33+BC33+BJ33+BQ33</f>
        <v>2.0473076999999997</v>
      </c>
      <c r="AP33" s="173">
        <f t="shared" si="11"/>
        <v>0</v>
      </c>
      <c r="AQ33" s="173">
        <f t="shared" si="12"/>
        <v>0</v>
      </c>
      <c r="AR33" s="173">
        <f>AY33+BF33+BM33+BT33</f>
        <v>3.1290000000000004</v>
      </c>
      <c r="AS33" s="173">
        <f t="shared" si="14"/>
        <v>0</v>
      </c>
      <c r="AT33" s="173">
        <f>BA33+BH33+BO33+BV33</f>
        <v>0</v>
      </c>
      <c r="AU33" s="173">
        <f>SUM(AU37:AU51)</f>
        <v>0</v>
      </c>
      <c r="AV33" s="173">
        <f t="shared" ref="AV33:BV33" si="38">SUM(AV37:AV51)</f>
        <v>2.538325E-2</v>
      </c>
      <c r="AW33" s="173">
        <f t="shared" si="38"/>
        <v>0</v>
      </c>
      <c r="AX33" s="173">
        <f t="shared" si="38"/>
        <v>0</v>
      </c>
      <c r="AY33" s="173">
        <f t="shared" si="38"/>
        <v>0.3</v>
      </c>
      <c r="AZ33" s="173">
        <f t="shared" si="38"/>
        <v>0</v>
      </c>
      <c r="BA33" s="173">
        <f t="shared" si="38"/>
        <v>0</v>
      </c>
      <c r="BB33" s="173">
        <f t="shared" si="38"/>
        <v>0</v>
      </c>
      <c r="BC33" s="173">
        <f t="shared" si="38"/>
        <v>1.1209178899999999</v>
      </c>
      <c r="BD33" s="173">
        <f t="shared" si="38"/>
        <v>0</v>
      </c>
      <c r="BE33" s="173">
        <f t="shared" si="38"/>
        <v>0</v>
      </c>
      <c r="BF33" s="173">
        <f t="shared" si="38"/>
        <v>1.1950000000000001</v>
      </c>
      <c r="BG33" s="173">
        <f t="shared" si="38"/>
        <v>0</v>
      </c>
      <c r="BH33" s="173">
        <f t="shared" si="38"/>
        <v>0</v>
      </c>
      <c r="BI33" s="173">
        <f t="shared" si="38"/>
        <v>0</v>
      </c>
      <c r="BJ33" s="173">
        <f t="shared" si="38"/>
        <v>0.11381358</v>
      </c>
      <c r="BK33" s="173">
        <f t="shared" si="38"/>
        <v>0</v>
      </c>
      <c r="BL33" s="173">
        <f t="shared" si="38"/>
        <v>0</v>
      </c>
      <c r="BM33" s="173">
        <f t="shared" si="38"/>
        <v>8.4999999999999992E-2</v>
      </c>
      <c r="BN33" s="173">
        <f t="shared" si="38"/>
        <v>0</v>
      </c>
      <c r="BO33" s="173">
        <f t="shared" si="38"/>
        <v>0</v>
      </c>
      <c r="BP33" s="173">
        <f t="shared" si="38"/>
        <v>0</v>
      </c>
      <c r="BQ33" s="173">
        <f t="shared" si="38"/>
        <v>0.78719297999999993</v>
      </c>
      <c r="BR33" s="173">
        <f t="shared" si="38"/>
        <v>0</v>
      </c>
      <c r="BS33" s="173">
        <f t="shared" si="38"/>
        <v>0</v>
      </c>
      <c r="BT33" s="173">
        <f>SUM(BT34:BT51)</f>
        <v>1.5490000000000002</v>
      </c>
      <c r="BU33" s="173">
        <f t="shared" si="38"/>
        <v>0</v>
      </c>
      <c r="BV33" s="173">
        <f t="shared" si="38"/>
        <v>0</v>
      </c>
      <c r="BW33" s="173">
        <f t="shared" si="17"/>
        <v>0</v>
      </c>
      <c r="BX33" s="220">
        <v>0</v>
      </c>
      <c r="BY33" s="173">
        <f t="shared" si="18"/>
        <v>1.9619323000000004</v>
      </c>
      <c r="BZ33" s="154"/>
      <c r="CA33" s="136">
        <f>'10'!T31</f>
        <v>0</v>
      </c>
      <c r="CB33" s="64"/>
    </row>
    <row r="34" spans="1:80" s="120" customFormat="1" ht="31.5">
      <c r="A34" s="123" t="s">
        <v>1074</v>
      </c>
      <c r="B34" s="580" t="s">
        <v>1179</v>
      </c>
      <c r="C34" s="158" t="s">
        <v>1182</v>
      </c>
      <c r="D34" s="524">
        <f t="shared" si="4"/>
        <v>0</v>
      </c>
      <c r="E34" s="524">
        <v>0</v>
      </c>
      <c r="F34" s="524">
        <v>0</v>
      </c>
      <c r="G34" s="524">
        <v>0</v>
      </c>
      <c r="H34" s="524">
        <v>0</v>
      </c>
      <c r="I34" s="524">
        <f>P34+W34+AD34+AK34</f>
        <v>0.06</v>
      </c>
      <c r="J34" s="524">
        <v>0</v>
      </c>
      <c r="K34" s="524">
        <v>0</v>
      </c>
      <c r="L34" s="515">
        <v>0</v>
      </c>
      <c r="M34" s="549">
        <v>0</v>
      </c>
      <c r="N34" s="515">
        <v>0</v>
      </c>
      <c r="O34" s="549">
        <v>0</v>
      </c>
      <c r="P34" s="549">
        <v>0.06</v>
      </c>
      <c r="Q34" s="549">
        <v>0</v>
      </c>
      <c r="R34" s="515">
        <v>0</v>
      </c>
      <c r="S34" s="549">
        <v>0</v>
      </c>
      <c r="T34" s="515">
        <v>0</v>
      </c>
      <c r="U34" s="549">
        <v>0</v>
      </c>
      <c r="V34" s="515">
        <v>0</v>
      </c>
      <c r="W34" s="549">
        <v>0</v>
      </c>
      <c r="X34" s="515">
        <v>0</v>
      </c>
      <c r="Y34" s="549">
        <v>0</v>
      </c>
      <c r="Z34" s="549">
        <v>0</v>
      </c>
      <c r="AA34" s="515">
        <v>0</v>
      </c>
      <c r="AB34" s="549">
        <v>0</v>
      </c>
      <c r="AC34" s="515">
        <v>0</v>
      </c>
      <c r="AD34" s="549">
        <v>0</v>
      </c>
      <c r="AE34" s="515">
        <v>0</v>
      </c>
      <c r="AF34" s="549">
        <v>0</v>
      </c>
      <c r="AG34" s="549">
        <v>0</v>
      </c>
      <c r="AH34" s="515">
        <v>0</v>
      </c>
      <c r="AI34" s="549">
        <v>0</v>
      </c>
      <c r="AJ34" s="515">
        <v>0</v>
      </c>
      <c r="AK34" s="549">
        <v>0</v>
      </c>
      <c r="AL34" s="515">
        <v>0</v>
      </c>
      <c r="AM34" s="549">
        <v>0</v>
      </c>
      <c r="AN34" s="522">
        <f t="shared" ref="AN34" si="39">AU34+BB34+BI34+BP34</f>
        <v>0</v>
      </c>
      <c r="AO34" s="522">
        <f t="shared" ref="AO34" si="40">AV34+BC34+BJ34+BQ34</f>
        <v>0</v>
      </c>
      <c r="AP34" s="522">
        <f t="shared" si="11"/>
        <v>0</v>
      </c>
      <c r="AQ34" s="522">
        <f t="shared" si="12"/>
        <v>0</v>
      </c>
      <c r="AR34" s="522">
        <v>0.06</v>
      </c>
      <c r="AS34" s="522">
        <f t="shared" si="14"/>
        <v>0</v>
      </c>
      <c r="AT34" s="522">
        <f t="shared" ref="AT34" si="41">BA34+BH34+BO34+BV34</f>
        <v>0</v>
      </c>
      <c r="AU34" s="522">
        <v>0</v>
      </c>
      <c r="AV34" s="522">
        <v>0</v>
      </c>
      <c r="AW34" s="522">
        <v>0</v>
      </c>
      <c r="AX34" s="522">
        <v>0</v>
      </c>
      <c r="AY34" s="522">
        <v>0</v>
      </c>
      <c r="AZ34" s="522">
        <v>0</v>
      </c>
      <c r="BA34" s="522">
        <v>0</v>
      </c>
      <c r="BB34" s="522">
        <v>0</v>
      </c>
      <c r="BC34" s="522">
        <v>0</v>
      </c>
      <c r="BD34" s="522">
        <v>0</v>
      </c>
      <c r="BE34" s="522">
        <v>0</v>
      </c>
      <c r="BF34" s="522">
        <v>0</v>
      </c>
      <c r="BG34" s="522">
        <v>0</v>
      </c>
      <c r="BH34" s="522">
        <v>0</v>
      </c>
      <c r="BI34" s="522">
        <v>0</v>
      </c>
      <c r="BJ34" s="522">
        <v>0</v>
      </c>
      <c r="BK34" s="522">
        <v>0</v>
      </c>
      <c r="BL34" s="522">
        <v>0</v>
      </c>
      <c r="BM34" s="522">
        <v>0</v>
      </c>
      <c r="BN34" s="522">
        <v>0</v>
      </c>
      <c r="BO34" s="522">
        <v>0</v>
      </c>
      <c r="BP34" s="522">
        <v>0</v>
      </c>
      <c r="BQ34" s="522">
        <v>0</v>
      </c>
      <c r="BR34" s="522">
        <v>0</v>
      </c>
      <c r="BS34" s="522">
        <v>0</v>
      </c>
      <c r="BT34" s="522">
        <v>0.06</v>
      </c>
      <c r="BU34" s="522">
        <v>0</v>
      </c>
      <c r="BV34" s="522">
        <v>0</v>
      </c>
      <c r="BW34" s="522">
        <v>0</v>
      </c>
      <c r="BX34" s="531">
        <v>0</v>
      </c>
      <c r="BY34" s="174">
        <f t="shared" si="18"/>
        <v>0</v>
      </c>
      <c r="BZ34" s="550"/>
      <c r="CA34" s="550"/>
      <c r="CB34" s="551"/>
    </row>
    <row r="35" spans="1:80" s="120" customFormat="1" ht="31.5">
      <c r="A35" s="123" t="s">
        <v>1075</v>
      </c>
      <c r="B35" s="580" t="s">
        <v>1180</v>
      </c>
      <c r="C35" s="158" t="s">
        <v>1183</v>
      </c>
      <c r="D35" s="524">
        <f t="shared" si="4"/>
        <v>0</v>
      </c>
      <c r="E35" s="524">
        <v>0</v>
      </c>
      <c r="F35" s="524">
        <v>0</v>
      </c>
      <c r="G35" s="524">
        <v>0</v>
      </c>
      <c r="H35" s="524">
        <v>0</v>
      </c>
      <c r="I35" s="524">
        <f t="shared" ref="I35:I58" si="42">P35+W35+AD35+AK35</f>
        <v>0.08</v>
      </c>
      <c r="J35" s="524">
        <v>0</v>
      </c>
      <c r="K35" s="524">
        <v>0</v>
      </c>
      <c r="L35" s="515">
        <v>0</v>
      </c>
      <c r="M35" s="549">
        <v>0</v>
      </c>
      <c r="N35" s="515">
        <v>0</v>
      </c>
      <c r="O35" s="549">
        <v>0</v>
      </c>
      <c r="P35" s="549">
        <v>0.08</v>
      </c>
      <c r="Q35" s="549">
        <v>0</v>
      </c>
      <c r="R35" s="515">
        <v>0</v>
      </c>
      <c r="S35" s="549">
        <v>0</v>
      </c>
      <c r="T35" s="515">
        <v>0</v>
      </c>
      <c r="U35" s="549">
        <v>0</v>
      </c>
      <c r="V35" s="515">
        <v>0</v>
      </c>
      <c r="W35" s="549">
        <v>0</v>
      </c>
      <c r="X35" s="515">
        <v>0</v>
      </c>
      <c r="Y35" s="549">
        <v>0</v>
      </c>
      <c r="Z35" s="549">
        <v>0</v>
      </c>
      <c r="AA35" s="515">
        <v>0</v>
      </c>
      <c r="AB35" s="549">
        <v>0</v>
      </c>
      <c r="AC35" s="515">
        <v>0</v>
      </c>
      <c r="AD35" s="549">
        <v>0</v>
      </c>
      <c r="AE35" s="515">
        <v>0</v>
      </c>
      <c r="AF35" s="549">
        <v>0</v>
      </c>
      <c r="AG35" s="549">
        <v>0</v>
      </c>
      <c r="AH35" s="515">
        <v>0</v>
      </c>
      <c r="AI35" s="549">
        <v>0</v>
      </c>
      <c r="AJ35" s="515">
        <v>0</v>
      </c>
      <c r="AK35" s="549">
        <v>0</v>
      </c>
      <c r="AL35" s="515">
        <v>0</v>
      </c>
      <c r="AM35" s="549">
        <v>0</v>
      </c>
      <c r="AN35" s="522">
        <f t="shared" ref="AN35" si="43">AU35+BB35+BI35+BP35</f>
        <v>0</v>
      </c>
      <c r="AO35" s="522">
        <f t="shared" ref="AO35" si="44">AV35+BC35+BJ35+BQ35</f>
        <v>0</v>
      </c>
      <c r="AP35" s="522">
        <f t="shared" ref="AP35" si="45">AW35+BD35+BK35+BR35</f>
        <v>0</v>
      </c>
      <c r="AQ35" s="522">
        <f t="shared" ref="AQ35" si="46">AX35+BE35+BL35+BS35</f>
        <v>0</v>
      </c>
      <c r="AR35" s="522">
        <v>0.08</v>
      </c>
      <c r="AS35" s="522">
        <f t="shared" ref="AS35" si="47">AZ35+BG35+BN35+BU35</f>
        <v>0</v>
      </c>
      <c r="AT35" s="522">
        <f t="shared" ref="AT35" si="48">BA35+BH35+BO35+BV35</f>
        <v>0</v>
      </c>
      <c r="AU35" s="522">
        <v>0</v>
      </c>
      <c r="AV35" s="522">
        <f>'12'!K30</f>
        <v>0</v>
      </c>
      <c r="AW35" s="522">
        <v>0</v>
      </c>
      <c r="AX35" s="522">
        <v>0</v>
      </c>
      <c r="AY35" s="522">
        <v>0</v>
      </c>
      <c r="AZ35" s="522">
        <v>0</v>
      </c>
      <c r="BA35" s="522">
        <v>0</v>
      </c>
      <c r="BB35" s="522">
        <v>0</v>
      </c>
      <c r="BC35" s="522">
        <v>0</v>
      </c>
      <c r="BD35" s="522">
        <v>0</v>
      </c>
      <c r="BE35" s="522">
        <v>0</v>
      </c>
      <c r="BF35" s="522">
        <v>0</v>
      </c>
      <c r="BG35" s="522">
        <v>0</v>
      </c>
      <c r="BH35" s="522">
        <v>0</v>
      </c>
      <c r="BI35" s="522">
        <v>0</v>
      </c>
      <c r="BJ35" s="522">
        <v>0</v>
      </c>
      <c r="BK35" s="522">
        <v>0</v>
      </c>
      <c r="BL35" s="522">
        <v>0</v>
      </c>
      <c r="BM35" s="522">
        <v>0</v>
      </c>
      <c r="BN35" s="522">
        <v>0</v>
      </c>
      <c r="BO35" s="522">
        <v>0</v>
      </c>
      <c r="BP35" s="522">
        <v>0</v>
      </c>
      <c r="BQ35" s="522">
        <v>0</v>
      </c>
      <c r="BR35" s="522">
        <v>0</v>
      </c>
      <c r="BS35" s="522">
        <v>0</v>
      </c>
      <c r="BT35" s="522">
        <v>0.08</v>
      </c>
      <c r="BU35" s="522">
        <v>0</v>
      </c>
      <c r="BV35" s="522">
        <v>0</v>
      </c>
      <c r="BW35" s="522">
        <v>0</v>
      </c>
      <c r="BX35" s="531">
        <v>0</v>
      </c>
      <c r="BY35" s="174">
        <f t="shared" si="18"/>
        <v>0</v>
      </c>
      <c r="BZ35" s="550"/>
      <c r="CA35" s="550"/>
      <c r="CB35" s="551"/>
    </row>
    <row r="36" spans="1:80" s="120" customFormat="1" ht="31.5">
      <c r="A36" s="123" t="s">
        <v>1076</v>
      </c>
      <c r="B36" s="580" t="s">
        <v>1181</v>
      </c>
      <c r="C36" s="158" t="s">
        <v>1184</v>
      </c>
      <c r="D36" s="524">
        <f t="shared" si="4"/>
        <v>0</v>
      </c>
      <c r="E36" s="524">
        <v>0</v>
      </c>
      <c r="F36" s="524">
        <v>0</v>
      </c>
      <c r="G36" s="524">
        <v>0</v>
      </c>
      <c r="H36" s="524">
        <v>0</v>
      </c>
      <c r="I36" s="524">
        <f t="shared" si="42"/>
        <v>0.22</v>
      </c>
      <c r="J36" s="524">
        <v>0</v>
      </c>
      <c r="K36" s="524">
        <v>0</v>
      </c>
      <c r="L36" s="515">
        <v>0</v>
      </c>
      <c r="M36" s="549">
        <v>0</v>
      </c>
      <c r="N36" s="515">
        <v>0</v>
      </c>
      <c r="O36" s="549">
        <v>0</v>
      </c>
      <c r="P36" s="549">
        <v>0.22</v>
      </c>
      <c r="Q36" s="549">
        <v>0</v>
      </c>
      <c r="R36" s="515">
        <v>0</v>
      </c>
      <c r="S36" s="549">
        <v>0</v>
      </c>
      <c r="T36" s="515">
        <v>0</v>
      </c>
      <c r="U36" s="549">
        <v>0</v>
      </c>
      <c r="V36" s="515">
        <v>0</v>
      </c>
      <c r="W36" s="549">
        <v>0</v>
      </c>
      <c r="X36" s="515">
        <v>0</v>
      </c>
      <c r="Y36" s="549">
        <v>0</v>
      </c>
      <c r="Z36" s="549">
        <v>0</v>
      </c>
      <c r="AA36" s="515">
        <v>0</v>
      </c>
      <c r="AB36" s="549">
        <v>0</v>
      </c>
      <c r="AC36" s="515">
        <v>0</v>
      </c>
      <c r="AD36" s="549">
        <v>0</v>
      </c>
      <c r="AE36" s="515">
        <v>0</v>
      </c>
      <c r="AF36" s="549">
        <v>0</v>
      </c>
      <c r="AG36" s="549">
        <v>0</v>
      </c>
      <c r="AH36" s="515">
        <v>0</v>
      </c>
      <c r="AI36" s="549">
        <v>0</v>
      </c>
      <c r="AJ36" s="515">
        <v>0</v>
      </c>
      <c r="AK36" s="549">
        <v>0</v>
      </c>
      <c r="AL36" s="515">
        <v>0</v>
      </c>
      <c r="AM36" s="549">
        <v>0</v>
      </c>
      <c r="AN36" s="522">
        <f t="shared" ref="AN36" si="49">AU36+BB36+BI36+BP36</f>
        <v>0</v>
      </c>
      <c r="AO36" s="522">
        <f t="shared" ref="AO36" si="50">AV36+BC36+BJ36+BQ36</f>
        <v>0</v>
      </c>
      <c r="AP36" s="522">
        <f t="shared" si="11"/>
        <v>0</v>
      </c>
      <c r="AQ36" s="522">
        <f t="shared" si="12"/>
        <v>0</v>
      </c>
      <c r="AR36" s="522">
        <v>0.22</v>
      </c>
      <c r="AS36" s="522">
        <f t="shared" si="14"/>
        <v>0</v>
      </c>
      <c r="AT36" s="522">
        <f t="shared" ref="AT36" si="51">BA36+BH36+BO36+BV36</f>
        <v>0</v>
      </c>
      <c r="AU36" s="522">
        <v>0</v>
      </c>
      <c r="AV36" s="522">
        <f>'12'!K31</f>
        <v>0</v>
      </c>
      <c r="AW36" s="522">
        <v>0</v>
      </c>
      <c r="AX36" s="522">
        <v>0</v>
      </c>
      <c r="AY36" s="522">
        <v>0</v>
      </c>
      <c r="AZ36" s="522">
        <v>0</v>
      </c>
      <c r="BA36" s="522">
        <v>0</v>
      </c>
      <c r="BB36" s="522">
        <v>0</v>
      </c>
      <c r="BC36" s="522">
        <v>0</v>
      </c>
      <c r="BD36" s="522">
        <v>0</v>
      </c>
      <c r="BE36" s="522">
        <v>0</v>
      </c>
      <c r="BF36" s="522">
        <v>0</v>
      </c>
      <c r="BG36" s="522">
        <v>0</v>
      </c>
      <c r="BH36" s="522">
        <v>0</v>
      </c>
      <c r="BI36" s="522">
        <v>0</v>
      </c>
      <c r="BJ36" s="522">
        <v>0</v>
      </c>
      <c r="BK36" s="522">
        <v>0</v>
      </c>
      <c r="BL36" s="522">
        <v>0</v>
      </c>
      <c r="BM36" s="522">
        <v>0</v>
      </c>
      <c r="BN36" s="522">
        <v>0</v>
      </c>
      <c r="BO36" s="522">
        <v>0</v>
      </c>
      <c r="BP36" s="522">
        <v>0</v>
      </c>
      <c r="BQ36" s="522">
        <v>0</v>
      </c>
      <c r="BR36" s="522">
        <v>0</v>
      </c>
      <c r="BS36" s="522">
        <v>0</v>
      </c>
      <c r="BT36" s="522">
        <v>0.22</v>
      </c>
      <c r="BU36" s="522">
        <v>0</v>
      </c>
      <c r="BV36" s="522">
        <v>0</v>
      </c>
      <c r="BW36" s="522">
        <v>0</v>
      </c>
      <c r="BX36" s="531">
        <v>0</v>
      </c>
      <c r="BY36" s="174">
        <f t="shared" si="18"/>
        <v>0</v>
      </c>
      <c r="BZ36" s="550"/>
      <c r="CA36" s="550"/>
      <c r="CB36" s="551"/>
    </row>
    <row r="37" spans="1:80" s="120" customFormat="1" ht="47.25">
      <c r="A37" s="123" t="s">
        <v>1077</v>
      </c>
      <c r="B37" s="580" t="s">
        <v>1080</v>
      </c>
      <c r="C37" s="121" t="s">
        <v>876</v>
      </c>
      <c r="D37" s="524">
        <f t="shared" si="4"/>
        <v>0</v>
      </c>
      <c r="E37" s="524">
        <v>0</v>
      </c>
      <c r="F37" s="524">
        <v>0</v>
      </c>
      <c r="G37" s="524">
        <v>0</v>
      </c>
      <c r="H37" s="524">
        <v>0</v>
      </c>
      <c r="I37" s="524">
        <f t="shared" si="42"/>
        <v>0</v>
      </c>
      <c r="J37" s="524">
        <v>0</v>
      </c>
      <c r="K37" s="524">
        <v>0</v>
      </c>
      <c r="L37" s="515">
        <v>0</v>
      </c>
      <c r="M37" s="549">
        <v>0</v>
      </c>
      <c r="N37" s="515">
        <v>0</v>
      </c>
      <c r="O37" s="549">
        <v>0</v>
      </c>
      <c r="P37" s="515">
        <v>0</v>
      </c>
      <c r="Q37" s="549">
        <v>0</v>
      </c>
      <c r="R37" s="515">
        <v>0</v>
      </c>
      <c r="S37" s="549">
        <v>0</v>
      </c>
      <c r="T37" s="515">
        <v>0</v>
      </c>
      <c r="U37" s="549">
        <v>0</v>
      </c>
      <c r="V37" s="515">
        <v>0</v>
      </c>
      <c r="W37" s="549">
        <v>0</v>
      </c>
      <c r="X37" s="515">
        <v>0</v>
      </c>
      <c r="Y37" s="549">
        <v>0</v>
      </c>
      <c r="Z37" s="549">
        <v>0</v>
      </c>
      <c r="AA37" s="515">
        <v>0</v>
      </c>
      <c r="AB37" s="549">
        <v>0</v>
      </c>
      <c r="AC37" s="515">
        <v>0</v>
      </c>
      <c r="AD37" s="549">
        <v>0</v>
      </c>
      <c r="AE37" s="515">
        <v>0</v>
      </c>
      <c r="AF37" s="549">
        <v>0</v>
      </c>
      <c r="AG37" s="549">
        <v>0</v>
      </c>
      <c r="AH37" s="515">
        <v>0</v>
      </c>
      <c r="AI37" s="549">
        <v>0</v>
      </c>
      <c r="AJ37" s="515">
        <v>0</v>
      </c>
      <c r="AK37" s="549">
        <v>0</v>
      </c>
      <c r="AL37" s="515">
        <v>0</v>
      </c>
      <c r="AM37" s="549">
        <v>0</v>
      </c>
      <c r="AN37" s="522">
        <f t="shared" ref="AN37:AN42" si="52">AU37+BB37+BI37+BP37</f>
        <v>0</v>
      </c>
      <c r="AO37" s="522">
        <f t="shared" ref="AO37:AO42" si="53">AV37+BC37+BJ37+BQ37</f>
        <v>5.3715279999999997E-2</v>
      </c>
      <c r="AP37" s="522">
        <f t="shared" ref="AP37:AP42" si="54">AW37+BD37+BK37+BR37</f>
        <v>0</v>
      </c>
      <c r="AQ37" s="522">
        <f t="shared" ref="AQ37:AQ42" si="55">AX37+BE37+BL37+BS37</f>
        <v>0</v>
      </c>
      <c r="AR37" s="522">
        <v>7.4999999999999997E-2</v>
      </c>
      <c r="AS37" s="522">
        <f t="shared" ref="AS37:AS42" si="56">AZ37+BG37+BN37+BU37</f>
        <v>0</v>
      </c>
      <c r="AT37" s="522">
        <f t="shared" ref="AT37:AT42" si="57">BA37+BH37+BO37+BV37</f>
        <v>0</v>
      </c>
      <c r="AU37" s="522">
        <v>0</v>
      </c>
      <c r="AV37" s="522">
        <f>'12'!K32</f>
        <v>0</v>
      </c>
      <c r="AW37" s="522">
        <v>0</v>
      </c>
      <c r="AX37" s="522">
        <v>0</v>
      </c>
      <c r="AY37" s="522">
        <v>0</v>
      </c>
      <c r="AZ37" s="522">
        <v>0</v>
      </c>
      <c r="BA37" s="522">
        <v>0</v>
      </c>
      <c r="BB37" s="522">
        <v>0</v>
      </c>
      <c r="BC37" s="522">
        <f>53715.28/1000000</f>
        <v>5.3715279999999997E-2</v>
      </c>
      <c r="BD37" s="522">
        <v>0</v>
      </c>
      <c r="BE37" s="522">
        <v>0</v>
      </c>
      <c r="BF37" s="522">
        <v>7.4999999999999997E-2</v>
      </c>
      <c r="BG37" s="522">
        <v>0</v>
      </c>
      <c r="BH37" s="522">
        <v>0</v>
      </c>
      <c r="BI37" s="522">
        <v>0</v>
      </c>
      <c r="BJ37" s="522">
        <v>0</v>
      </c>
      <c r="BK37" s="522">
        <v>0</v>
      </c>
      <c r="BL37" s="522">
        <v>0</v>
      </c>
      <c r="BM37" s="522">
        <v>0</v>
      </c>
      <c r="BN37" s="522">
        <v>0</v>
      </c>
      <c r="BO37" s="522">
        <v>0</v>
      </c>
      <c r="BP37" s="522">
        <v>0</v>
      </c>
      <c r="BQ37" s="522">
        <v>0</v>
      </c>
      <c r="BR37" s="522">
        <v>0</v>
      </c>
      <c r="BS37" s="522">
        <v>0</v>
      </c>
      <c r="BT37" s="522">
        <v>0</v>
      </c>
      <c r="BU37" s="522">
        <v>0</v>
      </c>
      <c r="BV37" s="522">
        <v>0</v>
      </c>
      <c r="BW37" s="522">
        <v>0</v>
      </c>
      <c r="BX37" s="531">
        <v>0</v>
      </c>
      <c r="BY37" s="174">
        <f t="shared" si="18"/>
        <v>-5.3715279999999997E-2</v>
      </c>
      <c r="BZ37" s="550"/>
      <c r="CA37" s="550"/>
      <c r="CB37" s="551"/>
    </row>
    <row r="38" spans="1:80" s="120" customFormat="1" ht="47.25">
      <c r="A38" s="123" t="s">
        <v>1078</v>
      </c>
      <c r="B38" s="580" t="s">
        <v>1081</v>
      </c>
      <c r="C38" s="121" t="s">
        <v>876</v>
      </c>
      <c r="D38" s="524">
        <f t="shared" si="4"/>
        <v>0</v>
      </c>
      <c r="E38" s="524">
        <v>0</v>
      </c>
      <c r="F38" s="524">
        <v>0</v>
      </c>
      <c r="G38" s="524">
        <v>0</v>
      </c>
      <c r="H38" s="524">
        <v>0</v>
      </c>
      <c r="I38" s="524">
        <f t="shared" si="42"/>
        <v>0</v>
      </c>
      <c r="J38" s="524">
        <v>0</v>
      </c>
      <c r="K38" s="524">
        <v>0</v>
      </c>
      <c r="L38" s="515">
        <v>0</v>
      </c>
      <c r="M38" s="549">
        <v>0</v>
      </c>
      <c r="N38" s="515">
        <v>0</v>
      </c>
      <c r="O38" s="549">
        <v>0</v>
      </c>
      <c r="P38" s="515">
        <v>0</v>
      </c>
      <c r="Q38" s="549">
        <v>0</v>
      </c>
      <c r="R38" s="515">
        <v>0</v>
      </c>
      <c r="S38" s="549">
        <v>0</v>
      </c>
      <c r="T38" s="515">
        <v>0</v>
      </c>
      <c r="U38" s="549">
        <v>0</v>
      </c>
      <c r="V38" s="515">
        <v>0</v>
      </c>
      <c r="W38" s="549">
        <v>0</v>
      </c>
      <c r="X38" s="515">
        <v>0</v>
      </c>
      <c r="Y38" s="549">
        <v>0</v>
      </c>
      <c r="Z38" s="549">
        <v>0</v>
      </c>
      <c r="AA38" s="515">
        <v>0</v>
      </c>
      <c r="AB38" s="549">
        <v>0</v>
      </c>
      <c r="AC38" s="515">
        <v>0</v>
      </c>
      <c r="AD38" s="549">
        <v>0</v>
      </c>
      <c r="AE38" s="515">
        <v>0</v>
      </c>
      <c r="AF38" s="549">
        <v>0</v>
      </c>
      <c r="AG38" s="549">
        <v>0</v>
      </c>
      <c r="AH38" s="515">
        <v>0</v>
      </c>
      <c r="AI38" s="549">
        <v>0</v>
      </c>
      <c r="AJ38" s="515">
        <v>0</v>
      </c>
      <c r="AK38" s="549">
        <v>0</v>
      </c>
      <c r="AL38" s="515">
        <v>0</v>
      </c>
      <c r="AM38" s="549">
        <v>0</v>
      </c>
      <c r="AN38" s="522">
        <f t="shared" si="52"/>
        <v>0</v>
      </c>
      <c r="AO38" s="522">
        <f t="shared" si="53"/>
        <v>2.538325E-2</v>
      </c>
      <c r="AP38" s="522">
        <f t="shared" si="54"/>
        <v>0</v>
      </c>
      <c r="AQ38" s="522">
        <f t="shared" si="55"/>
        <v>0</v>
      </c>
      <c r="AR38" s="522">
        <v>0.3</v>
      </c>
      <c r="AS38" s="522">
        <f t="shared" si="56"/>
        <v>0</v>
      </c>
      <c r="AT38" s="522">
        <f t="shared" si="57"/>
        <v>0</v>
      </c>
      <c r="AU38" s="522">
        <v>0</v>
      </c>
      <c r="AV38" s="522">
        <v>2.538325E-2</v>
      </c>
      <c r="AW38" s="522">
        <v>0</v>
      </c>
      <c r="AX38" s="522">
        <v>0</v>
      </c>
      <c r="AY38" s="522">
        <v>0.3</v>
      </c>
      <c r="AZ38" s="522">
        <v>0</v>
      </c>
      <c r="BA38" s="522">
        <v>0</v>
      </c>
      <c r="BB38" s="522">
        <v>0</v>
      </c>
      <c r="BC38" s="522">
        <v>0</v>
      </c>
      <c r="BD38" s="522">
        <v>0</v>
      </c>
      <c r="BE38" s="522">
        <v>0</v>
      </c>
      <c r="BF38" s="522">
        <v>0</v>
      </c>
      <c r="BG38" s="522">
        <v>0</v>
      </c>
      <c r="BH38" s="522">
        <v>0</v>
      </c>
      <c r="BI38" s="522">
        <v>0</v>
      </c>
      <c r="BJ38" s="522">
        <v>0</v>
      </c>
      <c r="BK38" s="522">
        <v>0</v>
      </c>
      <c r="BL38" s="522">
        <v>0</v>
      </c>
      <c r="BM38" s="522">
        <v>0</v>
      </c>
      <c r="BN38" s="522">
        <v>0</v>
      </c>
      <c r="BO38" s="522">
        <v>0</v>
      </c>
      <c r="BP38" s="522">
        <v>0</v>
      </c>
      <c r="BQ38" s="522">
        <v>0</v>
      </c>
      <c r="BR38" s="522">
        <v>0</v>
      </c>
      <c r="BS38" s="522">
        <v>0</v>
      </c>
      <c r="BT38" s="522">
        <v>0</v>
      </c>
      <c r="BU38" s="522">
        <v>0</v>
      </c>
      <c r="BV38" s="522">
        <v>0</v>
      </c>
      <c r="BW38" s="522">
        <v>0</v>
      </c>
      <c r="BX38" s="531">
        <v>0</v>
      </c>
      <c r="BY38" s="174">
        <f t="shared" si="18"/>
        <v>-2.538325E-2</v>
      </c>
      <c r="BZ38" s="550"/>
      <c r="CA38" s="550"/>
      <c r="CB38" s="551"/>
    </row>
    <row r="39" spans="1:80" s="120" customFormat="1" ht="47.25">
      <c r="A39" s="123" t="s">
        <v>1079</v>
      </c>
      <c r="B39" s="580" t="s">
        <v>1082</v>
      </c>
      <c r="C39" s="121" t="s">
        <v>876</v>
      </c>
      <c r="D39" s="524">
        <f t="shared" si="4"/>
        <v>0</v>
      </c>
      <c r="E39" s="524">
        <v>0</v>
      </c>
      <c r="F39" s="524">
        <v>0</v>
      </c>
      <c r="G39" s="524">
        <v>0</v>
      </c>
      <c r="H39" s="524">
        <v>0</v>
      </c>
      <c r="I39" s="524">
        <f t="shared" si="42"/>
        <v>0</v>
      </c>
      <c r="J39" s="524">
        <v>0</v>
      </c>
      <c r="K39" s="524">
        <v>0</v>
      </c>
      <c r="L39" s="515">
        <v>0</v>
      </c>
      <c r="M39" s="549">
        <v>0</v>
      </c>
      <c r="N39" s="515">
        <v>0</v>
      </c>
      <c r="O39" s="549">
        <v>0</v>
      </c>
      <c r="P39" s="515">
        <v>0</v>
      </c>
      <c r="Q39" s="549">
        <v>0</v>
      </c>
      <c r="R39" s="515">
        <v>0</v>
      </c>
      <c r="S39" s="549">
        <v>0</v>
      </c>
      <c r="T39" s="515">
        <v>0</v>
      </c>
      <c r="U39" s="549">
        <v>0</v>
      </c>
      <c r="V39" s="515">
        <v>0</v>
      </c>
      <c r="W39" s="549">
        <v>0</v>
      </c>
      <c r="X39" s="515">
        <v>0</v>
      </c>
      <c r="Y39" s="549">
        <v>0</v>
      </c>
      <c r="Z39" s="549">
        <v>0</v>
      </c>
      <c r="AA39" s="515">
        <v>0</v>
      </c>
      <c r="AB39" s="549">
        <v>0</v>
      </c>
      <c r="AC39" s="515">
        <v>0</v>
      </c>
      <c r="AD39" s="549">
        <v>0</v>
      </c>
      <c r="AE39" s="515">
        <v>0</v>
      </c>
      <c r="AF39" s="549">
        <v>0</v>
      </c>
      <c r="AG39" s="549">
        <v>0</v>
      </c>
      <c r="AH39" s="515">
        <v>0</v>
      </c>
      <c r="AI39" s="549">
        <v>0</v>
      </c>
      <c r="AJ39" s="515">
        <v>0</v>
      </c>
      <c r="AK39" s="549">
        <v>0</v>
      </c>
      <c r="AL39" s="515">
        <v>0</v>
      </c>
      <c r="AM39" s="549">
        <v>0</v>
      </c>
      <c r="AN39" s="522">
        <f t="shared" si="52"/>
        <v>0</v>
      </c>
      <c r="AO39" s="522">
        <f t="shared" si="53"/>
        <v>0.11920007000000001</v>
      </c>
      <c r="AP39" s="522">
        <f t="shared" si="54"/>
        <v>0</v>
      </c>
      <c r="AQ39" s="522">
        <f t="shared" si="55"/>
        <v>0</v>
      </c>
      <c r="AR39" s="522">
        <v>0.08</v>
      </c>
      <c r="AS39" s="522">
        <f t="shared" si="56"/>
        <v>0</v>
      </c>
      <c r="AT39" s="522">
        <f t="shared" si="57"/>
        <v>0</v>
      </c>
      <c r="AU39" s="522">
        <v>0</v>
      </c>
      <c r="AV39" s="522">
        <f>'12'!K34</f>
        <v>0</v>
      </c>
      <c r="AW39" s="522">
        <v>0</v>
      </c>
      <c r="AX39" s="522">
        <v>0</v>
      </c>
      <c r="AY39" s="522">
        <v>0</v>
      </c>
      <c r="AZ39" s="522">
        <v>0</v>
      </c>
      <c r="BA39" s="522">
        <v>0</v>
      </c>
      <c r="BB39" s="522">
        <v>0</v>
      </c>
      <c r="BC39" s="522">
        <v>0.11920007000000001</v>
      </c>
      <c r="BD39" s="522">
        <v>0</v>
      </c>
      <c r="BE39" s="522">
        <v>0</v>
      </c>
      <c r="BF39" s="522">
        <v>0.08</v>
      </c>
      <c r="BG39" s="522">
        <v>0</v>
      </c>
      <c r="BH39" s="522">
        <v>0</v>
      </c>
      <c r="BI39" s="522">
        <v>0</v>
      </c>
      <c r="BJ39" s="522">
        <v>0</v>
      </c>
      <c r="BK39" s="522">
        <v>0</v>
      </c>
      <c r="BL39" s="522">
        <v>0</v>
      </c>
      <c r="BM39" s="522">
        <v>0</v>
      </c>
      <c r="BN39" s="522">
        <v>0</v>
      </c>
      <c r="BO39" s="522">
        <v>0</v>
      </c>
      <c r="BP39" s="522">
        <v>0</v>
      </c>
      <c r="BQ39" s="522">
        <v>0</v>
      </c>
      <c r="BR39" s="522">
        <v>0</v>
      </c>
      <c r="BS39" s="522">
        <v>0</v>
      </c>
      <c r="BT39" s="522">
        <v>0</v>
      </c>
      <c r="BU39" s="522">
        <v>0</v>
      </c>
      <c r="BV39" s="522">
        <v>0</v>
      </c>
      <c r="BW39" s="522">
        <v>0</v>
      </c>
      <c r="BX39" s="531">
        <v>0</v>
      </c>
      <c r="BY39" s="174">
        <f t="shared" si="18"/>
        <v>-0.11920007000000001</v>
      </c>
      <c r="BZ39" s="550"/>
      <c r="CA39" s="550"/>
      <c r="CB39" s="551"/>
    </row>
    <row r="40" spans="1:80" s="120" customFormat="1" ht="47.25">
      <c r="A40" s="123" t="s">
        <v>1145</v>
      </c>
      <c r="B40" s="580" t="s">
        <v>1083</v>
      </c>
      <c r="C40" s="121" t="s">
        <v>876</v>
      </c>
      <c r="D40" s="524">
        <f t="shared" si="4"/>
        <v>0</v>
      </c>
      <c r="E40" s="524">
        <v>0</v>
      </c>
      <c r="F40" s="524">
        <v>0</v>
      </c>
      <c r="G40" s="524">
        <v>0</v>
      </c>
      <c r="H40" s="524">
        <v>0</v>
      </c>
      <c r="I40" s="524">
        <f t="shared" si="42"/>
        <v>0</v>
      </c>
      <c r="J40" s="524">
        <v>0</v>
      </c>
      <c r="K40" s="524">
        <v>0</v>
      </c>
      <c r="L40" s="515">
        <v>0</v>
      </c>
      <c r="M40" s="549">
        <v>0</v>
      </c>
      <c r="N40" s="515">
        <v>0</v>
      </c>
      <c r="O40" s="549">
        <v>0</v>
      </c>
      <c r="P40" s="515">
        <v>0</v>
      </c>
      <c r="Q40" s="549">
        <v>0</v>
      </c>
      <c r="R40" s="515">
        <v>0</v>
      </c>
      <c r="S40" s="549">
        <v>0</v>
      </c>
      <c r="T40" s="515">
        <v>0</v>
      </c>
      <c r="U40" s="549">
        <v>0</v>
      </c>
      <c r="V40" s="515">
        <v>0</v>
      </c>
      <c r="W40" s="549">
        <v>0</v>
      </c>
      <c r="X40" s="515">
        <v>0</v>
      </c>
      <c r="Y40" s="549">
        <v>0</v>
      </c>
      <c r="Z40" s="549">
        <v>0</v>
      </c>
      <c r="AA40" s="515">
        <v>0</v>
      </c>
      <c r="AB40" s="549">
        <v>0</v>
      </c>
      <c r="AC40" s="515">
        <v>0</v>
      </c>
      <c r="AD40" s="549">
        <v>0</v>
      </c>
      <c r="AE40" s="515">
        <v>0</v>
      </c>
      <c r="AF40" s="549">
        <v>0</v>
      </c>
      <c r="AG40" s="549">
        <v>0</v>
      </c>
      <c r="AH40" s="515">
        <v>0</v>
      </c>
      <c r="AI40" s="549">
        <v>0</v>
      </c>
      <c r="AJ40" s="515">
        <v>0</v>
      </c>
      <c r="AK40" s="549">
        <v>0</v>
      </c>
      <c r="AL40" s="515">
        <v>0</v>
      </c>
      <c r="AM40" s="549">
        <v>0</v>
      </c>
      <c r="AN40" s="522">
        <f t="shared" si="52"/>
        <v>0</v>
      </c>
      <c r="AO40" s="522">
        <f t="shared" si="53"/>
        <v>7.5863369999999999E-2</v>
      </c>
      <c r="AP40" s="522">
        <f t="shared" si="54"/>
        <v>0</v>
      </c>
      <c r="AQ40" s="522">
        <f t="shared" si="55"/>
        <v>0</v>
      </c>
      <c r="AR40" s="522">
        <v>2.5000000000000001E-2</v>
      </c>
      <c r="AS40" s="522">
        <f t="shared" si="56"/>
        <v>0</v>
      </c>
      <c r="AT40" s="522">
        <f t="shared" si="57"/>
        <v>0</v>
      </c>
      <c r="AU40" s="522">
        <v>0</v>
      </c>
      <c r="AV40" s="522">
        <f>'12'!K38</f>
        <v>0</v>
      </c>
      <c r="AW40" s="522">
        <v>0</v>
      </c>
      <c r="AX40" s="522">
        <v>0</v>
      </c>
      <c r="AY40" s="522">
        <v>0</v>
      </c>
      <c r="AZ40" s="522">
        <v>0</v>
      </c>
      <c r="BA40" s="522">
        <v>0</v>
      </c>
      <c r="BB40" s="522">
        <v>0</v>
      </c>
      <c r="BC40" s="522">
        <v>0</v>
      </c>
      <c r="BD40" s="522">
        <v>0</v>
      </c>
      <c r="BE40" s="522">
        <v>0</v>
      </c>
      <c r="BF40" s="522">
        <v>0</v>
      </c>
      <c r="BG40" s="522">
        <v>0</v>
      </c>
      <c r="BH40" s="522">
        <v>0</v>
      </c>
      <c r="BI40" s="522">
        <v>0</v>
      </c>
      <c r="BJ40" s="522">
        <v>7.5863369999999999E-2</v>
      </c>
      <c r="BK40" s="521">
        <v>0</v>
      </c>
      <c r="BL40" s="521">
        <v>0</v>
      </c>
      <c r="BM40" s="522">
        <v>2.5000000000000001E-2</v>
      </c>
      <c r="BN40" s="521">
        <v>0</v>
      </c>
      <c r="BO40" s="521">
        <v>0</v>
      </c>
      <c r="BP40" s="522">
        <v>0</v>
      </c>
      <c r="BQ40" s="522">
        <v>0</v>
      </c>
      <c r="BR40" s="522">
        <v>0</v>
      </c>
      <c r="BS40" s="522">
        <v>0</v>
      </c>
      <c r="BT40" s="522">
        <v>0</v>
      </c>
      <c r="BU40" s="522">
        <v>0</v>
      </c>
      <c r="BV40" s="522">
        <v>0</v>
      </c>
      <c r="BW40" s="522">
        <v>0</v>
      </c>
      <c r="BX40" s="531">
        <v>0</v>
      </c>
      <c r="BY40" s="174">
        <f t="shared" si="18"/>
        <v>-7.5863369999999999E-2</v>
      </c>
      <c r="BZ40" s="550"/>
      <c r="CA40" s="550"/>
      <c r="CB40" s="551"/>
    </row>
    <row r="41" spans="1:80" s="120" customFormat="1" ht="31.5">
      <c r="A41" s="123" t="s">
        <v>1146</v>
      </c>
      <c r="B41" s="580" t="s">
        <v>1084</v>
      </c>
      <c r="C41" s="121" t="s">
        <v>876</v>
      </c>
      <c r="D41" s="524">
        <f t="shared" si="4"/>
        <v>0</v>
      </c>
      <c r="E41" s="524">
        <v>0</v>
      </c>
      <c r="F41" s="524">
        <v>0</v>
      </c>
      <c r="G41" s="524">
        <v>0</v>
      </c>
      <c r="H41" s="524">
        <v>0</v>
      </c>
      <c r="I41" s="524">
        <f t="shared" si="42"/>
        <v>0</v>
      </c>
      <c r="J41" s="524">
        <v>0</v>
      </c>
      <c r="K41" s="524">
        <v>0</v>
      </c>
      <c r="L41" s="515">
        <v>0</v>
      </c>
      <c r="M41" s="549">
        <v>0</v>
      </c>
      <c r="N41" s="515">
        <v>0</v>
      </c>
      <c r="O41" s="549">
        <v>0</v>
      </c>
      <c r="P41" s="515">
        <v>0</v>
      </c>
      <c r="Q41" s="549">
        <v>0</v>
      </c>
      <c r="R41" s="515">
        <v>0</v>
      </c>
      <c r="S41" s="549">
        <v>0</v>
      </c>
      <c r="T41" s="515">
        <v>0</v>
      </c>
      <c r="U41" s="549">
        <v>0</v>
      </c>
      <c r="V41" s="515">
        <v>0</v>
      </c>
      <c r="W41" s="549">
        <v>0</v>
      </c>
      <c r="X41" s="515">
        <v>0</v>
      </c>
      <c r="Y41" s="549">
        <v>0</v>
      </c>
      <c r="Z41" s="549">
        <v>0</v>
      </c>
      <c r="AA41" s="515">
        <v>0</v>
      </c>
      <c r="AB41" s="549">
        <v>0</v>
      </c>
      <c r="AC41" s="515">
        <v>0</v>
      </c>
      <c r="AD41" s="549">
        <v>0</v>
      </c>
      <c r="AE41" s="515">
        <v>0</v>
      </c>
      <c r="AF41" s="549">
        <v>0</v>
      </c>
      <c r="AG41" s="549">
        <v>0</v>
      </c>
      <c r="AH41" s="515">
        <v>0</v>
      </c>
      <c r="AI41" s="549">
        <v>0</v>
      </c>
      <c r="AJ41" s="515">
        <v>0</v>
      </c>
      <c r="AK41" s="549">
        <v>0</v>
      </c>
      <c r="AL41" s="515">
        <v>0</v>
      </c>
      <c r="AM41" s="549">
        <v>0</v>
      </c>
      <c r="AN41" s="522">
        <f t="shared" si="52"/>
        <v>0</v>
      </c>
      <c r="AO41" s="522">
        <f t="shared" si="53"/>
        <v>0.94800253999999995</v>
      </c>
      <c r="AP41" s="522">
        <f t="shared" si="54"/>
        <v>0</v>
      </c>
      <c r="AQ41" s="522">
        <f t="shared" si="55"/>
        <v>0</v>
      </c>
      <c r="AR41" s="522">
        <v>1.04</v>
      </c>
      <c r="AS41" s="522">
        <f t="shared" si="56"/>
        <v>0</v>
      </c>
      <c r="AT41" s="522">
        <f t="shared" si="57"/>
        <v>0</v>
      </c>
      <c r="AU41" s="522">
        <v>0</v>
      </c>
      <c r="AV41" s="522">
        <f>'12'!K39</f>
        <v>0</v>
      </c>
      <c r="AW41" s="522">
        <v>0</v>
      </c>
      <c r="AX41" s="522">
        <v>0</v>
      </c>
      <c r="AY41" s="522">
        <v>0</v>
      </c>
      <c r="AZ41" s="522">
        <v>0</v>
      </c>
      <c r="BA41" s="522">
        <v>0</v>
      </c>
      <c r="BB41" s="522">
        <v>0</v>
      </c>
      <c r="BC41" s="522">
        <v>0.94800253999999995</v>
      </c>
      <c r="BD41" s="522">
        <v>0</v>
      </c>
      <c r="BE41" s="522">
        <v>0</v>
      </c>
      <c r="BF41" s="522">
        <v>1.04</v>
      </c>
      <c r="BG41" s="522">
        <v>0</v>
      </c>
      <c r="BH41" s="522">
        <v>0</v>
      </c>
      <c r="BI41" s="522">
        <v>0</v>
      </c>
      <c r="BJ41" s="521">
        <f>'12'!O36</f>
        <v>0</v>
      </c>
      <c r="BK41" s="522">
        <v>0</v>
      </c>
      <c r="BL41" s="522">
        <v>0</v>
      </c>
      <c r="BM41" s="522">
        <v>0</v>
      </c>
      <c r="BN41" s="522">
        <v>0</v>
      </c>
      <c r="BO41" s="522">
        <v>0</v>
      </c>
      <c r="BP41" s="522">
        <v>0</v>
      </c>
      <c r="BQ41" s="522">
        <v>0</v>
      </c>
      <c r="BR41" s="522">
        <v>0</v>
      </c>
      <c r="BS41" s="522">
        <v>0</v>
      </c>
      <c r="BT41" s="522">
        <v>0</v>
      </c>
      <c r="BU41" s="522">
        <v>0</v>
      </c>
      <c r="BV41" s="522">
        <v>0</v>
      </c>
      <c r="BW41" s="522">
        <v>0</v>
      </c>
      <c r="BX41" s="531">
        <v>0</v>
      </c>
      <c r="BY41" s="174">
        <f t="shared" si="18"/>
        <v>-0.94800253999999995</v>
      </c>
      <c r="BZ41" s="550"/>
      <c r="CA41" s="550"/>
      <c r="CB41" s="551"/>
    </row>
    <row r="42" spans="1:80" s="120" customFormat="1" ht="47.25">
      <c r="A42" s="123" t="s">
        <v>1147</v>
      </c>
      <c r="B42" s="508" t="s">
        <v>1085</v>
      </c>
      <c r="C42" s="121" t="s">
        <v>876</v>
      </c>
      <c r="D42" s="524">
        <f t="shared" si="4"/>
        <v>0</v>
      </c>
      <c r="E42" s="524">
        <v>0</v>
      </c>
      <c r="F42" s="524">
        <v>0</v>
      </c>
      <c r="G42" s="524">
        <v>0</v>
      </c>
      <c r="H42" s="524">
        <v>0</v>
      </c>
      <c r="I42" s="524">
        <f t="shared" si="42"/>
        <v>0</v>
      </c>
      <c r="J42" s="524">
        <v>0</v>
      </c>
      <c r="K42" s="524">
        <v>0</v>
      </c>
      <c r="L42" s="515">
        <v>0</v>
      </c>
      <c r="M42" s="549">
        <v>0</v>
      </c>
      <c r="N42" s="515">
        <v>0</v>
      </c>
      <c r="O42" s="549">
        <v>0</v>
      </c>
      <c r="P42" s="515">
        <v>0</v>
      </c>
      <c r="Q42" s="549">
        <v>0</v>
      </c>
      <c r="R42" s="515">
        <v>0</v>
      </c>
      <c r="S42" s="549">
        <v>0</v>
      </c>
      <c r="T42" s="515">
        <v>0</v>
      </c>
      <c r="U42" s="549">
        <v>0</v>
      </c>
      <c r="V42" s="515">
        <v>0</v>
      </c>
      <c r="W42" s="549">
        <v>0</v>
      </c>
      <c r="X42" s="515">
        <v>0</v>
      </c>
      <c r="Y42" s="549">
        <v>0</v>
      </c>
      <c r="Z42" s="549">
        <v>0</v>
      </c>
      <c r="AA42" s="515">
        <v>0</v>
      </c>
      <c r="AB42" s="549">
        <v>0</v>
      </c>
      <c r="AC42" s="515">
        <v>0</v>
      </c>
      <c r="AD42" s="549">
        <v>0</v>
      </c>
      <c r="AE42" s="515">
        <v>0</v>
      </c>
      <c r="AF42" s="549">
        <v>0</v>
      </c>
      <c r="AG42" s="549">
        <v>0</v>
      </c>
      <c r="AH42" s="515">
        <v>0</v>
      </c>
      <c r="AI42" s="549">
        <v>0</v>
      </c>
      <c r="AJ42" s="515">
        <v>0</v>
      </c>
      <c r="AK42" s="549">
        <v>0</v>
      </c>
      <c r="AL42" s="515">
        <v>0</v>
      </c>
      <c r="AM42" s="549">
        <v>0</v>
      </c>
      <c r="AN42" s="522">
        <f t="shared" si="52"/>
        <v>0</v>
      </c>
      <c r="AO42" s="522">
        <f t="shared" si="53"/>
        <v>0</v>
      </c>
      <c r="AP42" s="522">
        <f t="shared" si="54"/>
        <v>0</v>
      </c>
      <c r="AQ42" s="522">
        <f t="shared" si="55"/>
        <v>0</v>
      </c>
      <c r="AR42" s="522">
        <f t="shared" ref="AR42" si="58">AY42+BF42+BM42+BT42</f>
        <v>0</v>
      </c>
      <c r="AS42" s="522">
        <f t="shared" si="56"/>
        <v>0</v>
      </c>
      <c r="AT42" s="522">
        <f t="shared" si="57"/>
        <v>0</v>
      </c>
      <c r="AU42" s="522">
        <v>0</v>
      </c>
      <c r="AV42" s="522">
        <f>'12'!K46</f>
        <v>0</v>
      </c>
      <c r="AW42" s="522">
        <v>0</v>
      </c>
      <c r="AX42" s="522">
        <v>0</v>
      </c>
      <c r="AY42" s="522">
        <v>0</v>
      </c>
      <c r="AZ42" s="522">
        <v>0</v>
      </c>
      <c r="BA42" s="522">
        <v>0</v>
      </c>
      <c r="BB42" s="522">
        <v>0</v>
      </c>
      <c r="BC42" s="522">
        <f>'12'!M46</f>
        <v>0</v>
      </c>
      <c r="BD42" s="522">
        <v>0</v>
      </c>
      <c r="BE42" s="522">
        <v>0</v>
      </c>
      <c r="BF42" s="522">
        <v>0</v>
      </c>
      <c r="BG42" s="522">
        <v>0</v>
      </c>
      <c r="BH42" s="522">
        <v>0</v>
      </c>
      <c r="BI42" s="522">
        <v>0</v>
      </c>
      <c r="BJ42" s="521">
        <f>'12'!O37</f>
        <v>0</v>
      </c>
      <c r="BK42" s="522">
        <v>0</v>
      </c>
      <c r="BL42" s="522">
        <v>0</v>
      </c>
      <c r="BM42" s="522">
        <v>0</v>
      </c>
      <c r="BN42" s="522">
        <v>0</v>
      </c>
      <c r="BO42" s="522">
        <v>0</v>
      </c>
      <c r="BP42" s="522">
        <v>0</v>
      </c>
      <c r="BQ42" s="522">
        <v>0</v>
      </c>
      <c r="BR42" s="522">
        <v>0</v>
      </c>
      <c r="BS42" s="522">
        <v>0</v>
      </c>
      <c r="BT42" s="522">
        <v>0</v>
      </c>
      <c r="BU42" s="522">
        <v>0</v>
      </c>
      <c r="BV42" s="522">
        <v>0</v>
      </c>
      <c r="BW42" s="522">
        <v>0</v>
      </c>
      <c r="BX42" s="531">
        <v>0</v>
      </c>
      <c r="BY42" s="174">
        <f t="shared" si="18"/>
        <v>0</v>
      </c>
      <c r="BZ42" s="550"/>
      <c r="CA42" s="550"/>
      <c r="CB42" s="551"/>
    </row>
    <row r="43" spans="1:80" s="591" customFormat="1" ht="47.25">
      <c r="A43" s="123" t="s">
        <v>1158</v>
      </c>
      <c r="B43" s="508" t="s">
        <v>1156</v>
      </c>
      <c r="C43" s="121" t="s">
        <v>876</v>
      </c>
      <c r="D43" s="524">
        <f t="shared" si="4"/>
        <v>0</v>
      </c>
      <c r="E43" s="566">
        <v>0</v>
      </c>
      <c r="F43" s="566">
        <v>0</v>
      </c>
      <c r="G43" s="566">
        <v>0</v>
      </c>
      <c r="H43" s="566">
        <v>0</v>
      </c>
      <c r="I43" s="524">
        <f t="shared" si="42"/>
        <v>0</v>
      </c>
      <c r="J43" s="566">
        <v>0</v>
      </c>
      <c r="K43" s="566">
        <v>0</v>
      </c>
      <c r="L43" s="574">
        <v>0</v>
      </c>
      <c r="M43" s="583">
        <v>0</v>
      </c>
      <c r="N43" s="574">
        <v>0</v>
      </c>
      <c r="O43" s="583">
        <v>0</v>
      </c>
      <c r="P43" s="574">
        <v>0</v>
      </c>
      <c r="Q43" s="583">
        <v>0</v>
      </c>
      <c r="R43" s="574">
        <v>0</v>
      </c>
      <c r="S43" s="583">
        <v>0</v>
      </c>
      <c r="T43" s="574">
        <v>0</v>
      </c>
      <c r="U43" s="583">
        <v>0</v>
      </c>
      <c r="V43" s="574">
        <v>0</v>
      </c>
      <c r="W43" s="583">
        <v>0</v>
      </c>
      <c r="X43" s="574">
        <v>0</v>
      </c>
      <c r="Y43" s="583">
        <v>0</v>
      </c>
      <c r="Z43" s="583">
        <v>0</v>
      </c>
      <c r="AA43" s="574">
        <v>0</v>
      </c>
      <c r="AB43" s="583">
        <v>0</v>
      </c>
      <c r="AC43" s="574">
        <v>0</v>
      </c>
      <c r="AD43" s="583">
        <v>0</v>
      </c>
      <c r="AE43" s="574">
        <v>0</v>
      </c>
      <c r="AF43" s="583">
        <v>0</v>
      </c>
      <c r="AG43" s="583">
        <v>0</v>
      </c>
      <c r="AH43" s="574">
        <v>0</v>
      </c>
      <c r="AI43" s="583">
        <v>0</v>
      </c>
      <c r="AJ43" s="574">
        <v>0</v>
      </c>
      <c r="AK43" s="583">
        <v>0</v>
      </c>
      <c r="AL43" s="574">
        <v>0</v>
      </c>
      <c r="AM43" s="583">
        <v>0</v>
      </c>
      <c r="AN43" s="522">
        <f t="shared" ref="AN43:AN51" si="59">AU43+BB43+BI43+BP43</f>
        <v>0</v>
      </c>
      <c r="AO43" s="522">
        <f>AV43+BC43+BJ43+BQ43</f>
        <v>3.7950209999999998E-2</v>
      </c>
      <c r="AP43" s="522">
        <f t="shared" ref="AP43:AP51" si="60">AW43+BD43+BK43+BR43</f>
        <v>0</v>
      </c>
      <c r="AQ43" s="522">
        <f t="shared" ref="AQ43:AQ51" si="61">AX43+BE43+BL43+BS43</f>
        <v>0</v>
      </c>
      <c r="AR43" s="522">
        <v>0.06</v>
      </c>
      <c r="AS43" s="522">
        <f t="shared" ref="AS43:AS51" si="62">AZ43+BG43+BN43+BU43</f>
        <v>0</v>
      </c>
      <c r="AT43" s="522">
        <f t="shared" ref="AT43:AT51" si="63">BA43+BH43+BO43+BV43</f>
        <v>0</v>
      </c>
      <c r="AU43" s="522">
        <v>0</v>
      </c>
      <c r="AV43" s="522">
        <v>0</v>
      </c>
      <c r="AW43" s="522">
        <v>0</v>
      </c>
      <c r="AX43" s="522">
        <v>0</v>
      </c>
      <c r="AY43" s="522">
        <v>0</v>
      </c>
      <c r="AZ43" s="522">
        <v>0</v>
      </c>
      <c r="BA43" s="522">
        <v>0</v>
      </c>
      <c r="BB43" s="522">
        <v>0</v>
      </c>
      <c r="BC43" s="522">
        <v>0</v>
      </c>
      <c r="BD43" s="522">
        <v>0</v>
      </c>
      <c r="BE43" s="522">
        <v>0</v>
      </c>
      <c r="BF43" s="522">
        <v>0</v>
      </c>
      <c r="BG43" s="522">
        <v>0</v>
      </c>
      <c r="BH43" s="522">
        <v>0</v>
      </c>
      <c r="BI43" s="522">
        <v>0</v>
      </c>
      <c r="BJ43" s="522">
        <f>'12'!O38</f>
        <v>3.7950209999999998E-2</v>
      </c>
      <c r="BK43" s="522">
        <v>0</v>
      </c>
      <c r="BL43" s="522">
        <v>0</v>
      </c>
      <c r="BM43" s="522">
        <v>0.06</v>
      </c>
      <c r="BN43" s="522">
        <v>0</v>
      </c>
      <c r="BO43" s="522">
        <v>0</v>
      </c>
      <c r="BP43" s="522">
        <v>0</v>
      </c>
      <c r="BQ43" s="522">
        <v>0</v>
      </c>
      <c r="BR43" s="522">
        <v>0</v>
      </c>
      <c r="BS43" s="522">
        <v>0</v>
      </c>
      <c r="BT43" s="522">
        <v>0</v>
      </c>
      <c r="BU43" s="522">
        <v>0</v>
      </c>
      <c r="BV43" s="522">
        <v>0</v>
      </c>
      <c r="BW43" s="522">
        <v>0</v>
      </c>
      <c r="BX43" s="531">
        <v>0</v>
      </c>
      <c r="BY43" s="174">
        <f t="shared" si="18"/>
        <v>-3.7950209999999998E-2</v>
      </c>
      <c r="BZ43" s="561"/>
      <c r="CA43" s="561"/>
      <c r="CB43" s="588"/>
    </row>
    <row r="44" spans="1:80" s="591" customFormat="1" ht="47.25">
      <c r="A44" s="123" t="s">
        <v>1171</v>
      </c>
      <c r="B44" s="508" t="s">
        <v>1155</v>
      </c>
      <c r="C44" s="121" t="s">
        <v>876</v>
      </c>
      <c r="D44" s="524">
        <f t="shared" si="4"/>
        <v>0</v>
      </c>
      <c r="E44" s="566">
        <v>0</v>
      </c>
      <c r="F44" s="566">
        <v>0</v>
      </c>
      <c r="G44" s="566">
        <v>0</v>
      </c>
      <c r="H44" s="566">
        <v>0</v>
      </c>
      <c r="I44" s="524">
        <f t="shared" si="42"/>
        <v>0</v>
      </c>
      <c r="J44" s="566">
        <v>0</v>
      </c>
      <c r="K44" s="566">
        <v>0</v>
      </c>
      <c r="L44" s="574">
        <v>0</v>
      </c>
      <c r="M44" s="583">
        <v>0</v>
      </c>
      <c r="N44" s="574">
        <v>0</v>
      </c>
      <c r="O44" s="583">
        <v>0</v>
      </c>
      <c r="P44" s="574">
        <v>0</v>
      </c>
      <c r="Q44" s="583">
        <v>0</v>
      </c>
      <c r="R44" s="574">
        <v>0</v>
      </c>
      <c r="S44" s="583">
        <v>0</v>
      </c>
      <c r="T44" s="574">
        <v>0</v>
      </c>
      <c r="U44" s="583">
        <v>0</v>
      </c>
      <c r="V44" s="574">
        <v>0</v>
      </c>
      <c r="W44" s="583">
        <v>0</v>
      </c>
      <c r="X44" s="574">
        <v>0</v>
      </c>
      <c r="Y44" s="583">
        <v>0</v>
      </c>
      <c r="Z44" s="583">
        <v>0</v>
      </c>
      <c r="AA44" s="574">
        <v>0</v>
      </c>
      <c r="AB44" s="583">
        <v>0</v>
      </c>
      <c r="AC44" s="574">
        <v>0</v>
      </c>
      <c r="AD44" s="583">
        <v>0</v>
      </c>
      <c r="AE44" s="574">
        <v>0</v>
      </c>
      <c r="AF44" s="583">
        <v>0</v>
      </c>
      <c r="AG44" s="583">
        <v>0</v>
      </c>
      <c r="AH44" s="574">
        <v>0</v>
      </c>
      <c r="AI44" s="583">
        <v>0</v>
      </c>
      <c r="AJ44" s="574">
        <v>0</v>
      </c>
      <c r="AK44" s="583">
        <v>0</v>
      </c>
      <c r="AL44" s="574">
        <v>0</v>
      </c>
      <c r="AM44" s="583">
        <v>0</v>
      </c>
      <c r="AN44" s="522">
        <f t="shared" si="59"/>
        <v>0</v>
      </c>
      <c r="AO44" s="522">
        <f t="shared" ref="AO44:AO51" si="64">AV44+BC44+BJ44+BQ44</f>
        <v>0.14508222000000001</v>
      </c>
      <c r="AP44" s="522">
        <f t="shared" si="60"/>
        <v>0</v>
      </c>
      <c r="AQ44" s="522">
        <f t="shared" si="61"/>
        <v>0</v>
      </c>
      <c r="AR44" s="522">
        <f t="shared" ref="AR44:AR51" si="65">AY44+BF44+BM44+BT44</f>
        <v>0.25</v>
      </c>
      <c r="AS44" s="522">
        <f t="shared" si="62"/>
        <v>0</v>
      </c>
      <c r="AT44" s="522">
        <f t="shared" si="63"/>
        <v>0</v>
      </c>
      <c r="AU44" s="522">
        <v>0</v>
      </c>
      <c r="AV44" s="522">
        <v>0</v>
      </c>
      <c r="AW44" s="522">
        <v>0</v>
      </c>
      <c r="AX44" s="522">
        <v>0</v>
      </c>
      <c r="AY44" s="522">
        <v>0</v>
      </c>
      <c r="AZ44" s="522">
        <v>0</v>
      </c>
      <c r="BA44" s="522">
        <v>0</v>
      </c>
      <c r="BB44" s="522">
        <v>0</v>
      </c>
      <c r="BC44" s="522">
        <f>'12'!M48</f>
        <v>0</v>
      </c>
      <c r="BD44" s="522">
        <v>0</v>
      </c>
      <c r="BE44" s="522">
        <v>0</v>
      </c>
      <c r="BF44" s="522">
        <v>0</v>
      </c>
      <c r="BG44" s="522">
        <v>0</v>
      </c>
      <c r="BH44" s="522">
        <v>0</v>
      </c>
      <c r="BI44" s="522">
        <v>0</v>
      </c>
      <c r="BJ44" s="522">
        <f>'12'!O39</f>
        <v>0</v>
      </c>
      <c r="BK44" s="522">
        <v>0</v>
      </c>
      <c r="BL44" s="522">
        <v>0</v>
      </c>
      <c r="BM44" s="522">
        <v>0</v>
      </c>
      <c r="BN44" s="522">
        <v>0</v>
      </c>
      <c r="BO44" s="522">
        <v>0</v>
      </c>
      <c r="BP44" s="522">
        <v>0</v>
      </c>
      <c r="BQ44" s="522">
        <v>0.14508222000000001</v>
      </c>
      <c r="BR44" s="522">
        <v>0</v>
      </c>
      <c r="BS44" s="522">
        <v>0</v>
      </c>
      <c r="BT44" s="522">
        <v>0.25</v>
      </c>
      <c r="BU44" s="522">
        <v>0</v>
      </c>
      <c r="BV44" s="522">
        <v>0</v>
      </c>
      <c r="BW44" s="522">
        <v>0</v>
      </c>
      <c r="BX44" s="531">
        <v>0</v>
      </c>
      <c r="BY44" s="174">
        <f t="shared" si="18"/>
        <v>-0.14508222000000001</v>
      </c>
      <c r="BZ44" s="561"/>
      <c r="CA44" s="561"/>
      <c r="CB44" s="588"/>
    </row>
    <row r="45" spans="1:80" s="591" customFormat="1" ht="47.25">
      <c r="A45" s="123" t="s">
        <v>1172</v>
      </c>
      <c r="B45" s="508" t="s">
        <v>1154</v>
      </c>
      <c r="C45" s="121" t="s">
        <v>876</v>
      </c>
      <c r="D45" s="524">
        <f t="shared" si="4"/>
        <v>0</v>
      </c>
      <c r="E45" s="566">
        <v>0</v>
      </c>
      <c r="F45" s="566">
        <v>0</v>
      </c>
      <c r="G45" s="566">
        <v>0</v>
      </c>
      <c r="H45" s="566">
        <v>0</v>
      </c>
      <c r="I45" s="524">
        <f t="shared" si="42"/>
        <v>0</v>
      </c>
      <c r="J45" s="566">
        <v>0</v>
      </c>
      <c r="K45" s="566">
        <v>0</v>
      </c>
      <c r="L45" s="574">
        <v>0</v>
      </c>
      <c r="M45" s="583">
        <v>0</v>
      </c>
      <c r="N45" s="574">
        <v>0</v>
      </c>
      <c r="O45" s="583">
        <v>0</v>
      </c>
      <c r="P45" s="574">
        <v>0</v>
      </c>
      <c r="Q45" s="583">
        <v>0</v>
      </c>
      <c r="R45" s="574">
        <v>0</v>
      </c>
      <c r="S45" s="583">
        <v>0</v>
      </c>
      <c r="T45" s="574">
        <v>0</v>
      </c>
      <c r="U45" s="583">
        <v>0</v>
      </c>
      <c r="V45" s="574">
        <v>0</v>
      </c>
      <c r="W45" s="583">
        <v>0</v>
      </c>
      <c r="X45" s="574">
        <v>0</v>
      </c>
      <c r="Y45" s="583">
        <v>0</v>
      </c>
      <c r="Z45" s="583">
        <v>0</v>
      </c>
      <c r="AA45" s="574">
        <v>0</v>
      </c>
      <c r="AB45" s="583">
        <v>0</v>
      </c>
      <c r="AC45" s="574">
        <v>0</v>
      </c>
      <c r="AD45" s="583">
        <v>0</v>
      </c>
      <c r="AE45" s="574">
        <v>0</v>
      </c>
      <c r="AF45" s="583">
        <v>0</v>
      </c>
      <c r="AG45" s="583">
        <v>0</v>
      </c>
      <c r="AH45" s="574">
        <v>0</v>
      </c>
      <c r="AI45" s="583">
        <v>0</v>
      </c>
      <c r="AJ45" s="574">
        <v>0</v>
      </c>
      <c r="AK45" s="583">
        <v>0</v>
      </c>
      <c r="AL45" s="574">
        <v>0</v>
      </c>
      <c r="AM45" s="583">
        <v>0</v>
      </c>
      <c r="AN45" s="522">
        <f t="shared" ref="AN45:AN50" si="66">AU45+BB45+BI45+BP45</f>
        <v>0</v>
      </c>
      <c r="AO45" s="522">
        <f t="shared" ref="AO45:AO50" si="67">AV45+BC45+BJ45+BQ45</f>
        <v>0.17442367</v>
      </c>
      <c r="AP45" s="522">
        <f t="shared" ref="AP45:AP50" si="68">AW45+BD45+BK45+BR45</f>
        <v>0</v>
      </c>
      <c r="AQ45" s="522">
        <f t="shared" ref="AQ45:AR50" si="69">AX45+BE45+BL45+BS45</f>
        <v>0</v>
      </c>
      <c r="AR45" s="522">
        <f t="shared" ref="AR45:AR48" si="70">AY45+BF45+BM45+BT45</f>
        <v>0.2</v>
      </c>
      <c r="AS45" s="522">
        <f t="shared" ref="AS45:AS50" si="71">AZ45+BG45+BN45+BU45</f>
        <v>0</v>
      </c>
      <c r="AT45" s="522">
        <f t="shared" ref="AT45:AT50" si="72">BA45+BH45+BO45+BV45</f>
        <v>0</v>
      </c>
      <c r="AU45" s="522">
        <v>0</v>
      </c>
      <c r="AV45" s="522">
        <v>0</v>
      </c>
      <c r="AW45" s="522">
        <v>0</v>
      </c>
      <c r="AX45" s="522">
        <v>0</v>
      </c>
      <c r="AY45" s="522">
        <v>0</v>
      </c>
      <c r="AZ45" s="522">
        <v>0</v>
      </c>
      <c r="BA45" s="522">
        <v>0</v>
      </c>
      <c r="BB45" s="522">
        <v>0</v>
      </c>
      <c r="BC45" s="522">
        <f>'12'!M48</f>
        <v>0</v>
      </c>
      <c r="BD45" s="522">
        <v>0</v>
      </c>
      <c r="BE45" s="522">
        <v>0</v>
      </c>
      <c r="BF45" s="522">
        <v>0</v>
      </c>
      <c r="BG45" s="522">
        <v>0</v>
      </c>
      <c r="BH45" s="522">
        <v>0</v>
      </c>
      <c r="BI45" s="522">
        <v>0</v>
      </c>
      <c r="BJ45" s="522">
        <f>'12'!O40</f>
        <v>0</v>
      </c>
      <c r="BK45" s="522">
        <v>0</v>
      </c>
      <c r="BL45" s="522">
        <v>0</v>
      </c>
      <c r="BM45" s="522">
        <v>0</v>
      </c>
      <c r="BN45" s="522">
        <v>0</v>
      </c>
      <c r="BO45" s="522">
        <v>0</v>
      </c>
      <c r="BP45" s="522">
        <v>0</v>
      </c>
      <c r="BQ45" s="522">
        <v>0.17442367</v>
      </c>
      <c r="BR45" s="522">
        <v>0</v>
      </c>
      <c r="BS45" s="522">
        <v>0</v>
      </c>
      <c r="BT45" s="522">
        <v>0.2</v>
      </c>
      <c r="BU45" s="522">
        <v>0</v>
      </c>
      <c r="BV45" s="522">
        <v>0</v>
      </c>
      <c r="BW45" s="522">
        <v>0</v>
      </c>
      <c r="BX45" s="531">
        <v>0</v>
      </c>
      <c r="BY45" s="174">
        <f t="shared" si="18"/>
        <v>-0.17442367</v>
      </c>
      <c r="BZ45" s="561"/>
      <c r="CA45" s="561"/>
      <c r="CB45" s="588"/>
    </row>
    <row r="46" spans="1:80" s="591" customFormat="1" ht="63">
      <c r="A46" s="123" t="s">
        <v>1173</v>
      </c>
      <c r="B46" s="508" t="s">
        <v>1159</v>
      </c>
      <c r="C46" s="121" t="s">
        <v>876</v>
      </c>
      <c r="D46" s="524">
        <f t="shared" si="4"/>
        <v>0</v>
      </c>
      <c r="E46" s="566">
        <v>0</v>
      </c>
      <c r="F46" s="566">
        <v>0</v>
      </c>
      <c r="G46" s="566">
        <v>0</v>
      </c>
      <c r="H46" s="566">
        <v>0</v>
      </c>
      <c r="I46" s="524">
        <f t="shared" si="42"/>
        <v>0</v>
      </c>
      <c r="J46" s="566">
        <v>0</v>
      </c>
      <c r="K46" s="566">
        <v>0</v>
      </c>
      <c r="L46" s="574">
        <v>0</v>
      </c>
      <c r="M46" s="583">
        <v>0</v>
      </c>
      <c r="N46" s="574">
        <v>0</v>
      </c>
      <c r="O46" s="583">
        <v>0</v>
      </c>
      <c r="P46" s="574">
        <v>0</v>
      </c>
      <c r="Q46" s="583">
        <v>0</v>
      </c>
      <c r="R46" s="574">
        <v>0</v>
      </c>
      <c r="S46" s="583">
        <v>0</v>
      </c>
      <c r="T46" s="574">
        <v>0</v>
      </c>
      <c r="U46" s="583">
        <v>0</v>
      </c>
      <c r="V46" s="574">
        <v>0</v>
      </c>
      <c r="W46" s="583">
        <v>0</v>
      </c>
      <c r="X46" s="574">
        <v>0</v>
      </c>
      <c r="Y46" s="583">
        <v>0</v>
      </c>
      <c r="Z46" s="583">
        <v>0</v>
      </c>
      <c r="AA46" s="574">
        <v>0</v>
      </c>
      <c r="AB46" s="583">
        <v>0</v>
      </c>
      <c r="AC46" s="574">
        <v>0</v>
      </c>
      <c r="AD46" s="583">
        <v>0</v>
      </c>
      <c r="AE46" s="574">
        <v>0</v>
      </c>
      <c r="AF46" s="583">
        <v>0</v>
      </c>
      <c r="AG46" s="583">
        <v>0</v>
      </c>
      <c r="AH46" s="574">
        <v>0</v>
      </c>
      <c r="AI46" s="583">
        <v>0</v>
      </c>
      <c r="AJ46" s="574">
        <v>0</v>
      </c>
      <c r="AK46" s="583">
        <v>0</v>
      </c>
      <c r="AL46" s="574">
        <v>0</v>
      </c>
      <c r="AM46" s="583">
        <v>0</v>
      </c>
      <c r="AN46" s="522">
        <f t="shared" si="66"/>
        <v>0</v>
      </c>
      <c r="AO46" s="522">
        <f t="shared" si="67"/>
        <v>3.2067409999999998E-2</v>
      </c>
      <c r="AP46" s="522">
        <f t="shared" si="68"/>
        <v>0</v>
      </c>
      <c r="AQ46" s="522">
        <f t="shared" si="69"/>
        <v>0</v>
      </c>
      <c r="AR46" s="522">
        <f t="shared" si="70"/>
        <v>0.04</v>
      </c>
      <c r="AS46" s="522">
        <f t="shared" si="71"/>
        <v>0</v>
      </c>
      <c r="AT46" s="522">
        <f t="shared" si="72"/>
        <v>0</v>
      </c>
      <c r="AU46" s="522">
        <v>0</v>
      </c>
      <c r="AV46" s="522">
        <f>'12'!K44</f>
        <v>0</v>
      </c>
      <c r="AW46" s="522">
        <v>0</v>
      </c>
      <c r="AX46" s="522">
        <v>0</v>
      </c>
      <c r="AY46" s="522">
        <v>0</v>
      </c>
      <c r="AZ46" s="522">
        <v>0</v>
      </c>
      <c r="BA46" s="522">
        <v>0</v>
      </c>
      <c r="BB46" s="522">
        <v>0</v>
      </c>
      <c r="BC46" s="522">
        <f>'12'!M44</f>
        <v>0</v>
      </c>
      <c r="BD46" s="522">
        <v>0</v>
      </c>
      <c r="BE46" s="522">
        <v>0</v>
      </c>
      <c r="BF46" s="522">
        <v>0</v>
      </c>
      <c r="BG46" s="522">
        <v>0</v>
      </c>
      <c r="BH46" s="522">
        <v>0</v>
      </c>
      <c r="BI46" s="522">
        <v>0</v>
      </c>
      <c r="BJ46" s="522">
        <f>'12'!O41</f>
        <v>0</v>
      </c>
      <c r="BK46" s="522">
        <v>0</v>
      </c>
      <c r="BL46" s="522">
        <v>0</v>
      </c>
      <c r="BM46" s="522">
        <v>0</v>
      </c>
      <c r="BN46" s="522">
        <v>0</v>
      </c>
      <c r="BO46" s="522">
        <v>0</v>
      </c>
      <c r="BP46" s="522">
        <v>0</v>
      </c>
      <c r="BQ46" s="522">
        <v>3.2067409999999998E-2</v>
      </c>
      <c r="BR46" s="522">
        <v>0</v>
      </c>
      <c r="BS46" s="522">
        <v>0</v>
      </c>
      <c r="BT46" s="522">
        <v>0.04</v>
      </c>
      <c r="BU46" s="522">
        <v>0</v>
      </c>
      <c r="BV46" s="522">
        <v>0</v>
      </c>
      <c r="BW46" s="522">
        <v>0</v>
      </c>
      <c r="BX46" s="531">
        <v>0</v>
      </c>
      <c r="BY46" s="174">
        <f t="shared" si="18"/>
        <v>-3.2067409999999998E-2</v>
      </c>
      <c r="BZ46" s="561"/>
      <c r="CA46" s="561"/>
      <c r="CB46" s="588"/>
    </row>
    <row r="47" spans="1:80" s="591" customFormat="1" ht="63">
      <c r="A47" s="123" t="s">
        <v>1174</v>
      </c>
      <c r="B47" s="508" t="s">
        <v>1160</v>
      </c>
      <c r="C47" s="121" t="s">
        <v>876</v>
      </c>
      <c r="D47" s="524">
        <f t="shared" si="4"/>
        <v>0</v>
      </c>
      <c r="E47" s="566">
        <v>0</v>
      </c>
      <c r="F47" s="566">
        <v>0</v>
      </c>
      <c r="G47" s="566">
        <v>0</v>
      </c>
      <c r="H47" s="566">
        <v>0</v>
      </c>
      <c r="I47" s="524">
        <f t="shared" si="42"/>
        <v>0</v>
      </c>
      <c r="J47" s="566">
        <v>0</v>
      </c>
      <c r="K47" s="566">
        <v>0</v>
      </c>
      <c r="L47" s="574">
        <v>0</v>
      </c>
      <c r="M47" s="583">
        <v>0</v>
      </c>
      <c r="N47" s="574">
        <v>0</v>
      </c>
      <c r="O47" s="583">
        <v>0</v>
      </c>
      <c r="P47" s="574">
        <v>0</v>
      </c>
      <c r="Q47" s="583">
        <v>0</v>
      </c>
      <c r="R47" s="574">
        <v>0</v>
      </c>
      <c r="S47" s="583">
        <v>0</v>
      </c>
      <c r="T47" s="574">
        <v>0</v>
      </c>
      <c r="U47" s="583">
        <v>0</v>
      </c>
      <c r="V47" s="574">
        <v>0</v>
      </c>
      <c r="W47" s="583">
        <v>0</v>
      </c>
      <c r="X47" s="574">
        <v>0</v>
      </c>
      <c r="Y47" s="583">
        <v>0</v>
      </c>
      <c r="Z47" s="583">
        <v>0</v>
      </c>
      <c r="AA47" s="574">
        <v>0</v>
      </c>
      <c r="AB47" s="583">
        <v>0</v>
      </c>
      <c r="AC47" s="574">
        <v>0</v>
      </c>
      <c r="AD47" s="583">
        <v>0</v>
      </c>
      <c r="AE47" s="574">
        <v>0</v>
      </c>
      <c r="AF47" s="583">
        <v>0</v>
      </c>
      <c r="AG47" s="583">
        <v>0</v>
      </c>
      <c r="AH47" s="574">
        <v>0</v>
      </c>
      <c r="AI47" s="583">
        <v>0</v>
      </c>
      <c r="AJ47" s="574">
        <v>0</v>
      </c>
      <c r="AK47" s="583">
        <v>0</v>
      </c>
      <c r="AL47" s="574">
        <v>0</v>
      </c>
      <c r="AM47" s="583">
        <v>0</v>
      </c>
      <c r="AN47" s="522">
        <f t="shared" ref="AN47" si="73">AU47+BB47+BI47+BP47</f>
        <v>0</v>
      </c>
      <c r="AO47" s="522">
        <f t="shared" ref="AO47" si="74">AV47+BC47+BJ47+BQ47</f>
        <v>0.10034952</v>
      </c>
      <c r="AP47" s="522">
        <f t="shared" ref="AP47" si="75">AW47+BD47+BK47+BR47</f>
        <v>0</v>
      </c>
      <c r="AQ47" s="522">
        <f t="shared" ref="AQ47" si="76">AX47+BE47+BL47+BS47</f>
        <v>0</v>
      </c>
      <c r="AR47" s="522">
        <f t="shared" ref="AR47" si="77">AY47+BF47+BM47+BT47</f>
        <v>0.15</v>
      </c>
      <c r="AS47" s="522">
        <f t="shared" ref="AS47" si="78">AZ47+BG47+BN47+BU47</f>
        <v>0</v>
      </c>
      <c r="AT47" s="522">
        <f t="shared" ref="AT47" si="79">BA47+BH47+BO47+BV47</f>
        <v>0</v>
      </c>
      <c r="AU47" s="522">
        <v>0</v>
      </c>
      <c r="AV47" s="522">
        <f>'12'!K45</f>
        <v>0</v>
      </c>
      <c r="AW47" s="522">
        <v>0</v>
      </c>
      <c r="AX47" s="522">
        <v>0</v>
      </c>
      <c r="AY47" s="522">
        <v>0</v>
      </c>
      <c r="AZ47" s="522">
        <v>0</v>
      </c>
      <c r="BA47" s="522">
        <v>0</v>
      </c>
      <c r="BB47" s="522">
        <v>0</v>
      </c>
      <c r="BC47" s="522">
        <f>'12'!M45</f>
        <v>0</v>
      </c>
      <c r="BD47" s="522">
        <v>0</v>
      </c>
      <c r="BE47" s="522">
        <v>0</v>
      </c>
      <c r="BF47" s="522">
        <v>0</v>
      </c>
      <c r="BG47" s="522">
        <v>0</v>
      </c>
      <c r="BH47" s="522">
        <v>0</v>
      </c>
      <c r="BI47" s="522">
        <v>0</v>
      </c>
      <c r="BJ47" s="522">
        <f>'12'!O42</f>
        <v>0</v>
      </c>
      <c r="BK47" s="522">
        <v>0</v>
      </c>
      <c r="BL47" s="522">
        <v>0</v>
      </c>
      <c r="BM47" s="522">
        <v>0</v>
      </c>
      <c r="BN47" s="522">
        <v>0</v>
      </c>
      <c r="BO47" s="522">
        <v>0</v>
      </c>
      <c r="BP47" s="522">
        <v>0</v>
      </c>
      <c r="BQ47" s="522">
        <v>0.10034952</v>
      </c>
      <c r="BR47" s="522">
        <v>0</v>
      </c>
      <c r="BS47" s="522">
        <v>0</v>
      </c>
      <c r="BT47" s="522">
        <v>0.15</v>
      </c>
      <c r="BU47" s="522">
        <v>0</v>
      </c>
      <c r="BV47" s="522">
        <v>0</v>
      </c>
      <c r="BW47" s="522">
        <v>0</v>
      </c>
      <c r="BX47" s="531">
        <v>0</v>
      </c>
      <c r="BY47" s="174">
        <f t="shared" si="18"/>
        <v>-0.10034952</v>
      </c>
      <c r="BZ47" s="561"/>
      <c r="CA47" s="561"/>
      <c r="CB47" s="588"/>
    </row>
    <row r="48" spans="1:80" s="591" customFormat="1" ht="47.25">
      <c r="A48" s="123" t="s">
        <v>1175</v>
      </c>
      <c r="B48" s="508" t="s">
        <v>1161</v>
      </c>
      <c r="C48" s="121" t="s">
        <v>876</v>
      </c>
      <c r="D48" s="524">
        <f t="shared" si="4"/>
        <v>0</v>
      </c>
      <c r="E48" s="566">
        <v>0</v>
      </c>
      <c r="F48" s="566">
        <v>0</v>
      </c>
      <c r="G48" s="566">
        <v>0</v>
      </c>
      <c r="H48" s="566">
        <v>0</v>
      </c>
      <c r="I48" s="524">
        <f t="shared" si="42"/>
        <v>0</v>
      </c>
      <c r="J48" s="566">
        <v>0</v>
      </c>
      <c r="K48" s="566">
        <v>0</v>
      </c>
      <c r="L48" s="574">
        <v>0</v>
      </c>
      <c r="M48" s="583">
        <v>0</v>
      </c>
      <c r="N48" s="574">
        <v>0</v>
      </c>
      <c r="O48" s="583">
        <v>0</v>
      </c>
      <c r="P48" s="574">
        <v>0</v>
      </c>
      <c r="Q48" s="583">
        <v>0</v>
      </c>
      <c r="R48" s="574">
        <v>0</v>
      </c>
      <c r="S48" s="583">
        <v>0</v>
      </c>
      <c r="T48" s="574">
        <v>0</v>
      </c>
      <c r="U48" s="583">
        <v>0</v>
      </c>
      <c r="V48" s="574">
        <v>0</v>
      </c>
      <c r="W48" s="583">
        <v>0</v>
      </c>
      <c r="X48" s="574">
        <v>0</v>
      </c>
      <c r="Y48" s="583">
        <v>0</v>
      </c>
      <c r="Z48" s="583">
        <v>0</v>
      </c>
      <c r="AA48" s="574">
        <v>0</v>
      </c>
      <c r="AB48" s="583">
        <v>0</v>
      </c>
      <c r="AC48" s="574">
        <v>0</v>
      </c>
      <c r="AD48" s="583">
        <v>0</v>
      </c>
      <c r="AE48" s="574">
        <v>0</v>
      </c>
      <c r="AF48" s="583">
        <v>0</v>
      </c>
      <c r="AG48" s="583">
        <v>0</v>
      </c>
      <c r="AH48" s="574">
        <v>0</v>
      </c>
      <c r="AI48" s="583">
        <v>0</v>
      </c>
      <c r="AJ48" s="574">
        <v>0</v>
      </c>
      <c r="AK48" s="583">
        <v>0</v>
      </c>
      <c r="AL48" s="574">
        <v>0</v>
      </c>
      <c r="AM48" s="583">
        <v>0</v>
      </c>
      <c r="AN48" s="522">
        <f t="shared" si="66"/>
        <v>0</v>
      </c>
      <c r="AO48" s="522">
        <f t="shared" si="67"/>
        <v>3.6797059999999999E-2</v>
      </c>
      <c r="AP48" s="522">
        <f t="shared" si="68"/>
        <v>0</v>
      </c>
      <c r="AQ48" s="522">
        <f t="shared" si="69"/>
        <v>0</v>
      </c>
      <c r="AR48" s="522">
        <f t="shared" si="70"/>
        <v>0.06</v>
      </c>
      <c r="AS48" s="522">
        <f t="shared" si="71"/>
        <v>0</v>
      </c>
      <c r="AT48" s="522">
        <f t="shared" si="72"/>
        <v>0</v>
      </c>
      <c r="AU48" s="522">
        <v>0</v>
      </c>
      <c r="AV48" s="522">
        <f>'12'!K46</f>
        <v>0</v>
      </c>
      <c r="AW48" s="522">
        <v>0</v>
      </c>
      <c r="AX48" s="522">
        <v>0</v>
      </c>
      <c r="AY48" s="522">
        <v>0</v>
      </c>
      <c r="AZ48" s="522">
        <v>0</v>
      </c>
      <c r="BA48" s="522">
        <v>0</v>
      </c>
      <c r="BB48" s="522">
        <v>0</v>
      </c>
      <c r="BC48" s="522">
        <f>'12'!M46</f>
        <v>0</v>
      </c>
      <c r="BD48" s="522">
        <v>0</v>
      </c>
      <c r="BE48" s="522">
        <v>0</v>
      </c>
      <c r="BF48" s="522">
        <v>0</v>
      </c>
      <c r="BG48" s="522">
        <v>0</v>
      </c>
      <c r="BH48" s="522">
        <v>0</v>
      </c>
      <c r="BI48" s="522">
        <v>0</v>
      </c>
      <c r="BJ48" s="522">
        <f>'12'!O43</f>
        <v>0</v>
      </c>
      <c r="BK48" s="522">
        <v>0</v>
      </c>
      <c r="BL48" s="522">
        <v>0</v>
      </c>
      <c r="BM48" s="522">
        <v>0</v>
      </c>
      <c r="BN48" s="522">
        <v>0</v>
      </c>
      <c r="BO48" s="522">
        <v>0</v>
      </c>
      <c r="BP48" s="522">
        <v>0</v>
      </c>
      <c r="BQ48" s="522">
        <v>3.6797059999999999E-2</v>
      </c>
      <c r="BR48" s="522">
        <v>0</v>
      </c>
      <c r="BS48" s="522">
        <v>0</v>
      </c>
      <c r="BT48" s="522">
        <v>0.06</v>
      </c>
      <c r="BU48" s="522">
        <v>0</v>
      </c>
      <c r="BV48" s="522">
        <v>0</v>
      </c>
      <c r="BW48" s="522">
        <v>0</v>
      </c>
      <c r="BX48" s="531">
        <v>0</v>
      </c>
      <c r="BY48" s="174">
        <f t="shared" si="18"/>
        <v>-3.6797059999999999E-2</v>
      </c>
      <c r="BZ48" s="561"/>
      <c r="CA48" s="561"/>
      <c r="CB48" s="588"/>
    </row>
    <row r="49" spans="1:80" s="591" customFormat="1" ht="63">
      <c r="A49" s="123" t="s">
        <v>1185</v>
      </c>
      <c r="B49" s="508" t="s">
        <v>1162</v>
      </c>
      <c r="C49" s="121" t="s">
        <v>876</v>
      </c>
      <c r="D49" s="524">
        <f t="shared" si="4"/>
        <v>0</v>
      </c>
      <c r="E49" s="566">
        <v>0</v>
      </c>
      <c r="F49" s="566">
        <v>0</v>
      </c>
      <c r="G49" s="566">
        <v>0</v>
      </c>
      <c r="H49" s="566">
        <v>0</v>
      </c>
      <c r="I49" s="524">
        <f t="shared" si="42"/>
        <v>0</v>
      </c>
      <c r="J49" s="566">
        <v>0</v>
      </c>
      <c r="K49" s="566">
        <v>0</v>
      </c>
      <c r="L49" s="574">
        <v>0</v>
      </c>
      <c r="M49" s="583">
        <v>0</v>
      </c>
      <c r="N49" s="574">
        <v>0</v>
      </c>
      <c r="O49" s="583">
        <v>0</v>
      </c>
      <c r="P49" s="574">
        <v>0</v>
      </c>
      <c r="Q49" s="583">
        <v>0</v>
      </c>
      <c r="R49" s="574">
        <v>0</v>
      </c>
      <c r="S49" s="583">
        <v>0</v>
      </c>
      <c r="T49" s="574">
        <v>0</v>
      </c>
      <c r="U49" s="583">
        <v>0</v>
      </c>
      <c r="V49" s="574">
        <v>0</v>
      </c>
      <c r="W49" s="583">
        <v>0</v>
      </c>
      <c r="X49" s="574">
        <v>0</v>
      </c>
      <c r="Y49" s="583">
        <v>0</v>
      </c>
      <c r="Z49" s="583">
        <v>0</v>
      </c>
      <c r="AA49" s="574">
        <v>0</v>
      </c>
      <c r="AB49" s="583">
        <v>0</v>
      </c>
      <c r="AC49" s="574">
        <v>0</v>
      </c>
      <c r="AD49" s="583">
        <v>0</v>
      </c>
      <c r="AE49" s="574">
        <v>0</v>
      </c>
      <c r="AF49" s="583">
        <v>0</v>
      </c>
      <c r="AG49" s="583">
        <v>0</v>
      </c>
      <c r="AH49" s="574">
        <v>0</v>
      </c>
      <c r="AI49" s="583">
        <v>0</v>
      </c>
      <c r="AJ49" s="574">
        <v>0</v>
      </c>
      <c r="AK49" s="583">
        <v>0</v>
      </c>
      <c r="AL49" s="574">
        <v>0</v>
      </c>
      <c r="AM49" s="583">
        <v>0</v>
      </c>
      <c r="AN49" s="522">
        <f t="shared" ref="AN49" si="80">AU49+BB49+BI49+BP49</f>
        <v>0</v>
      </c>
      <c r="AO49" s="522">
        <f t="shared" ref="AO49" si="81">AV49+BC49+BJ49+BQ49</f>
        <v>0.20287573</v>
      </c>
      <c r="AP49" s="522">
        <f t="shared" ref="AP49" si="82">AW49+BD49+BK49+BR49</f>
        <v>0</v>
      </c>
      <c r="AQ49" s="522">
        <f t="shared" ref="AQ49" si="83">AX49+BE49+BL49+BS49</f>
        <v>0</v>
      </c>
      <c r="AR49" s="522">
        <f t="shared" ref="AR49" si="84">AY49+BF49+BM49+BT49</f>
        <v>0.44900000000000001</v>
      </c>
      <c r="AS49" s="522">
        <f t="shared" ref="AS49" si="85">AZ49+BG49+BN49+BU49</f>
        <v>0</v>
      </c>
      <c r="AT49" s="522">
        <f t="shared" ref="AT49" si="86">BA49+BH49+BO49+BV49</f>
        <v>0</v>
      </c>
      <c r="AU49" s="522">
        <v>0</v>
      </c>
      <c r="AV49" s="522">
        <v>0</v>
      </c>
      <c r="AW49" s="522">
        <v>0</v>
      </c>
      <c r="AX49" s="522">
        <v>0</v>
      </c>
      <c r="AY49" s="522">
        <v>0</v>
      </c>
      <c r="AZ49" s="522">
        <v>0</v>
      </c>
      <c r="BA49" s="522">
        <v>0</v>
      </c>
      <c r="BB49" s="522">
        <v>0</v>
      </c>
      <c r="BC49" s="522">
        <v>0</v>
      </c>
      <c r="BD49" s="522">
        <v>0</v>
      </c>
      <c r="BE49" s="522">
        <v>0</v>
      </c>
      <c r="BF49" s="522">
        <v>0</v>
      </c>
      <c r="BG49" s="522">
        <v>0</v>
      </c>
      <c r="BH49" s="522">
        <v>0</v>
      </c>
      <c r="BI49" s="522">
        <v>0</v>
      </c>
      <c r="BJ49" s="522">
        <f>'12'!O44</f>
        <v>0</v>
      </c>
      <c r="BK49" s="522">
        <v>0</v>
      </c>
      <c r="BL49" s="522">
        <v>0</v>
      </c>
      <c r="BM49" s="522">
        <v>0</v>
      </c>
      <c r="BN49" s="522">
        <v>0</v>
      </c>
      <c r="BO49" s="522">
        <v>0</v>
      </c>
      <c r="BP49" s="522">
        <v>0</v>
      </c>
      <c r="BQ49" s="522">
        <v>0.20287573</v>
      </c>
      <c r="BR49" s="522">
        <v>0</v>
      </c>
      <c r="BS49" s="522">
        <v>0</v>
      </c>
      <c r="BT49" s="522">
        <v>0.44900000000000001</v>
      </c>
      <c r="BU49" s="522">
        <v>0</v>
      </c>
      <c r="BV49" s="522">
        <v>0</v>
      </c>
      <c r="BW49" s="522">
        <v>0</v>
      </c>
      <c r="BX49" s="531">
        <v>0</v>
      </c>
      <c r="BY49" s="174">
        <f t="shared" si="18"/>
        <v>-0.20287573</v>
      </c>
      <c r="BZ49" s="561"/>
      <c r="CA49" s="561"/>
      <c r="CB49" s="588"/>
    </row>
    <row r="50" spans="1:80" s="591" customFormat="1" ht="63">
      <c r="A50" s="123" t="s">
        <v>1186</v>
      </c>
      <c r="B50" s="508" t="s">
        <v>1163</v>
      </c>
      <c r="C50" s="121" t="s">
        <v>876</v>
      </c>
      <c r="D50" s="524">
        <f t="shared" si="4"/>
        <v>0</v>
      </c>
      <c r="E50" s="566">
        <v>0</v>
      </c>
      <c r="F50" s="566">
        <v>0</v>
      </c>
      <c r="G50" s="566">
        <v>0</v>
      </c>
      <c r="H50" s="566">
        <v>0</v>
      </c>
      <c r="I50" s="524">
        <f t="shared" si="42"/>
        <v>0</v>
      </c>
      <c r="J50" s="566">
        <v>0</v>
      </c>
      <c r="K50" s="566">
        <v>0</v>
      </c>
      <c r="L50" s="574">
        <v>0</v>
      </c>
      <c r="M50" s="583">
        <v>0</v>
      </c>
      <c r="N50" s="574">
        <v>0</v>
      </c>
      <c r="O50" s="583">
        <v>0</v>
      </c>
      <c r="P50" s="574">
        <v>0</v>
      </c>
      <c r="Q50" s="583">
        <v>0</v>
      </c>
      <c r="R50" s="574">
        <v>0</v>
      </c>
      <c r="S50" s="583">
        <v>0</v>
      </c>
      <c r="T50" s="574">
        <v>0</v>
      </c>
      <c r="U50" s="583">
        <v>0</v>
      </c>
      <c r="V50" s="574">
        <v>0</v>
      </c>
      <c r="W50" s="583">
        <v>0</v>
      </c>
      <c r="X50" s="574">
        <v>0</v>
      </c>
      <c r="Y50" s="583">
        <v>0</v>
      </c>
      <c r="Z50" s="583">
        <v>0</v>
      </c>
      <c r="AA50" s="574">
        <v>0</v>
      </c>
      <c r="AB50" s="583">
        <v>0</v>
      </c>
      <c r="AC50" s="574">
        <v>0</v>
      </c>
      <c r="AD50" s="583">
        <v>0</v>
      </c>
      <c r="AE50" s="574">
        <v>0</v>
      </c>
      <c r="AF50" s="583">
        <v>0</v>
      </c>
      <c r="AG50" s="583">
        <v>0</v>
      </c>
      <c r="AH50" s="574">
        <v>0</v>
      </c>
      <c r="AI50" s="583">
        <v>0</v>
      </c>
      <c r="AJ50" s="574">
        <v>0</v>
      </c>
      <c r="AK50" s="583">
        <v>0</v>
      </c>
      <c r="AL50" s="574">
        <v>0</v>
      </c>
      <c r="AM50" s="583">
        <v>0</v>
      </c>
      <c r="AN50" s="522">
        <f t="shared" si="66"/>
        <v>0</v>
      </c>
      <c r="AO50" s="522">
        <f t="shared" si="67"/>
        <v>3.5597370000000003E-2</v>
      </c>
      <c r="AP50" s="522">
        <f t="shared" si="68"/>
        <v>0</v>
      </c>
      <c r="AQ50" s="522">
        <f t="shared" si="69"/>
        <v>0</v>
      </c>
      <c r="AR50" s="522">
        <f t="shared" si="69"/>
        <v>0.04</v>
      </c>
      <c r="AS50" s="522">
        <f t="shared" si="71"/>
        <v>0</v>
      </c>
      <c r="AT50" s="522">
        <f t="shared" si="72"/>
        <v>0</v>
      </c>
      <c r="AU50" s="522">
        <v>0</v>
      </c>
      <c r="AV50" s="522">
        <v>0</v>
      </c>
      <c r="AW50" s="522">
        <v>0</v>
      </c>
      <c r="AX50" s="522">
        <v>0</v>
      </c>
      <c r="AY50" s="522">
        <v>0</v>
      </c>
      <c r="AZ50" s="522">
        <v>0</v>
      </c>
      <c r="BA50" s="522">
        <v>0</v>
      </c>
      <c r="BB50" s="522">
        <v>0</v>
      </c>
      <c r="BC50" s="522">
        <f>'12'!M48</f>
        <v>0</v>
      </c>
      <c r="BD50" s="522">
        <v>0</v>
      </c>
      <c r="BE50" s="522">
        <v>0</v>
      </c>
      <c r="BF50" s="522">
        <v>0</v>
      </c>
      <c r="BG50" s="522">
        <v>0</v>
      </c>
      <c r="BH50" s="522">
        <v>0</v>
      </c>
      <c r="BI50" s="522">
        <v>0</v>
      </c>
      <c r="BJ50" s="522">
        <f>'12'!O45</f>
        <v>0</v>
      </c>
      <c r="BK50" s="522">
        <v>0</v>
      </c>
      <c r="BL50" s="522">
        <v>0</v>
      </c>
      <c r="BM50" s="522">
        <v>0</v>
      </c>
      <c r="BN50" s="522">
        <v>0</v>
      </c>
      <c r="BO50" s="522">
        <v>0</v>
      </c>
      <c r="BP50" s="522">
        <v>0</v>
      </c>
      <c r="BQ50" s="522">
        <f>0.03559737</f>
        <v>3.5597370000000003E-2</v>
      </c>
      <c r="BR50" s="522">
        <v>0</v>
      </c>
      <c r="BS50" s="522">
        <v>0</v>
      </c>
      <c r="BT50" s="522">
        <v>0.04</v>
      </c>
      <c r="BU50" s="522">
        <v>0</v>
      </c>
      <c r="BV50" s="522">
        <v>0</v>
      </c>
      <c r="BW50" s="522">
        <v>0</v>
      </c>
      <c r="BX50" s="531">
        <v>0</v>
      </c>
      <c r="BY50" s="174">
        <f t="shared" si="18"/>
        <v>-3.5597370000000003E-2</v>
      </c>
      <c r="BZ50" s="561"/>
      <c r="CA50" s="561"/>
      <c r="CB50" s="588"/>
    </row>
    <row r="51" spans="1:80" s="591" customFormat="1" ht="47.25">
      <c r="A51" s="123" t="s">
        <v>1187</v>
      </c>
      <c r="B51" s="508" t="s">
        <v>1164</v>
      </c>
      <c r="C51" s="121" t="s">
        <v>876</v>
      </c>
      <c r="D51" s="524">
        <f t="shared" si="4"/>
        <v>0</v>
      </c>
      <c r="E51" s="566">
        <v>0</v>
      </c>
      <c r="F51" s="566">
        <v>0</v>
      </c>
      <c r="G51" s="566">
        <v>0</v>
      </c>
      <c r="H51" s="566">
        <v>0</v>
      </c>
      <c r="I51" s="524">
        <f t="shared" si="42"/>
        <v>0</v>
      </c>
      <c r="J51" s="566">
        <v>0</v>
      </c>
      <c r="K51" s="566">
        <v>0</v>
      </c>
      <c r="L51" s="574">
        <v>0</v>
      </c>
      <c r="M51" s="583">
        <v>0</v>
      </c>
      <c r="N51" s="574">
        <v>0</v>
      </c>
      <c r="O51" s="583">
        <v>0</v>
      </c>
      <c r="P51" s="574">
        <v>0</v>
      </c>
      <c r="Q51" s="583">
        <v>0</v>
      </c>
      <c r="R51" s="574">
        <v>0</v>
      </c>
      <c r="S51" s="583">
        <v>0</v>
      </c>
      <c r="T51" s="574">
        <v>0</v>
      </c>
      <c r="U51" s="583">
        <v>0</v>
      </c>
      <c r="V51" s="574">
        <v>0</v>
      </c>
      <c r="W51" s="583">
        <v>0</v>
      </c>
      <c r="X51" s="574">
        <v>0</v>
      </c>
      <c r="Y51" s="583">
        <v>0</v>
      </c>
      <c r="Z51" s="583">
        <v>0</v>
      </c>
      <c r="AA51" s="574">
        <v>0</v>
      </c>
      <c r="AB51" s="583">
        <v>0</v>
      </c>
      <c r="AC51" s="574">
        <v>0</v>
      </c>
      <c r="AD51" s="583">
        <v>0</v>
      </c>
      <c r="AE51" s="574">
        <v>0</v>
      </c>
      <c r="AF51" s="583">
        <v>0</v>
      </c>
      <c r="AG51" s="583">
        <v>0</v>
      </c>
      <c r="AH51" s="574">
        <v>0</v>
      </c>
      <c r="AI51" s="583">
        <v>0</v>
      </c>
      <c r="AJ51" s="574">
        <v>0</v>
      </c>
      <c r="AK51" s="583">
        <v>0</v>
      </c>
      <c r="AL51" s="574">
        <v>0</v>
      </c>
      <c r="AM51" s="583">
        <v>0</v>
      </c>
      <c r="AN51" s="522">
        <f t="shared" si="59"/>
        <v>0</v>
      </c>
      <c r="AO51" s="522">
        <f t="shared" si="64"/>
        <v>0.06</v>
      </c>
      <c r="AP51" s="522">
        <f t="shared" si="60"/>
        <v>0</v>
      </c>
      <c r="AQ51" s="522">
        <f t="shared" si="61"/>
        <v>0</v>
      </c>
      <c r="AR51" s="522">
        <f t="shared" si="65"/>
        <v>0</v>
      </c>
      <c r="AS51" s="522">
        <f t="shared" si="62"/>
        <v>0</v>
      </c>
      <c r="AT51" s="522">
        <f t="shared" si="63"/>
        <v>0</v>
      </c>
      <c r="AU51" s="522">
        <v>0</v>
      </c>
      <c r="AV51" s="522">
        <v>0</v>
      </c>
      <c r="AW51" s="522">
        <v>0</v>
      </c>
      <c r="AX51" s="522">
        <v>0</v>
      </c>
      <c r="AY51" s="522">
        <v>0</v>
      </c>
      <c r="AZ51" s="522">
        <v>0</v>
      </c>
      <c r="BA51" s="522">
        <v>0</v>
      </c>
      <c r="BB51" s="522">
        <v>0</v>
      </c>
      <c r="BC51" s="522">
        <f>'12'!M49</f>
        <v>0</v>
      </c>
      <c r="BD51" s="522">
        <v>0</v>
      </c>
      <c r="BE51" s="522">
        <v>0</v>
      </c>
      <c r="BF51" s="522">
        <v>0</v>
      </c>
      <c r="BG51" s="522">
        <v>0</v>
      </c>
      <c r="BH51" s="522">
        <v>0</v>
      </c>
      <c r="BI51" s="522">
        <v>0</v>
      </c>
      <c r="BJ51" s="522">
        <f>'12'!O46</f>
        <v>0</v>
      </c>
      <c r="BK51" s="522">
        <v>0</v>
      </c>
      <c r="BL51" s="522">
        <v>0</v>
      </c>
      <c r="BM51" s="522">
        <v>0</v>
      </c>
      <c r="BN51" s="522">
        <v>0</v>
      </c>
      <c r="BO51" s="522">
        <v>0</v>
      </c>
      <c r="BP51" s="522">
        <v>0</v>
      </c>
      <c r="BQ51" s="522">
        <v>0.06</v>
      </c>
      <c r="BR51" s="522">
        <v>0</v>
      </c>
      <c r="BS51" s="522">
        <v>0</v>
      </c>
      <c r="BT51" s="522">
        <v>0</v>
      </c>
      <c r="BU51" s="522">
        <v>0</v>
      </c>
      <c r="BV51" s="522">
        <v>0</v>
      </c>
      <c r="BW51" s="522">
        <v>0</v>
      </c>
      <c r="BX51" s="531">
        <v>0</v>
      </c>
      <c r="BY51" s="174">
        <f t="shared" si="18"/>
        <v>-0.06</v>
      </c>
      <c r="BZ51" s="561"/>
      <c r="CA51" s="561"/>
      <c r="CB51" s="588"/>
    </row>
    <row r="52" spans="1:80" s="572" customFormat="1" ht="63">
      <c r="A52" s="146" t="s">
        <v>392</v>
      </c>
      <c r="B52" s="507" t="s">
        <v>893</v>
      </c>
      <c r="C52" s="567" t="s">
        <v>876</v>
      </c>
      <c r="D52" s="524">
        <f t="shared" si="4"/>
        <v>0</v>
      </c>
      <c r="E52" s="524">
        <f t="shared" si="30"/>
        <v>0</v>
      </c>
      <c r="F52" s="524">
        <f>M52+T52+AA52+AH52</f>
        <v>0</v>
      </c>
      <c r="G52" s="524">
        <f t="shared" si="32"/>
        <v>0</v>
      </c>
      <c r="H52" s="524">
        <f t="shared" si="33"/>
        <v>0</v>
      </c>
      <c r="I52" s="524">
        <f t="shared" si="42"/>
        <v>0</v>
      </c>
      <c r="J52" s="524">
        <f t="shared" si="34"/>
        <v>0</v>
      </c>
      <c r="K52" s="524">
        <f t="shared" si="35"/>
        <v>0</v>
      </c>
      <c r="L52" s="593">
        <v>0</v>
      </c>
      <c r="M52" s="524">
        <v>0</v>
      </c>
      <c r="N52" s="593">
        <v>0</v>
      </c>
      <c r="O52" s="524">
        <v>0</v>
      </c>
      <c r="P52" s="593">
        <v>0</v>
      </c>
      <c r="Q52" s="524">
        <v>0</v>
      </c>
      <c r="R52" s="593">
        <v>0</v>
      </c>
      <c r="S52" s="524">
        <v>0</v>
      </c>
      <c r="T52" s="593">
        <v>0</v>
      </c>
      <c r="U52" s="524">
        <v>0</v>
      </c>
      <c r="V52" s="593">
        <v>0</v>
      </c>
      <c r="W52" s="524">
        <v>0</v>
      </c>
      <c r="X52" s="593">
        <v>0</v>
      </c>
      <c r="Y52" s="524">
        <v>0</v>
      </c>
      <c r="Z52" s="524">
        <v>0</v>
      </c>
      <c r="AA52" s="593">
        <v>0</v>
      </c>
      <c r="AB52" s="524">
        <v>0</v>
      </c>
      <c r="AC52" s="593">
        <v>0</v>
      </c>
      <c r="AD52" s="524">
        <v>0</v>
      </c>
      <c r="AE52" s="593">
        <v>0</v>
      </c>
      <c r="AF52" s="524">
        <v>0</v>
      </c>
      <c r="AG52" s="524">
        <v>0</v>
      </c>
      <c r="AH52" s="593">
        <v>0</v>
      </c>
      <c r="AI52" s="524">
        <v>0</v>
      </c>
      <c r="AJ52" s="593">
        <v>0</v>
      </c>
      <c r="AK52" s="524">
        <v>0</v>
      </c>
      <c r="AL52" s="593">
        <v>0</v>
      </c>
      <c r="AM52" s="524">
        <v>0</v>
      </c>
      <c r="AN52" s="523">
        <f>AU52+BB52+BI52+BP52</f>
        <v>0</v>
      </c>
      <c r="AO52" s="523">
        <f>AV52+BC52+BJ52+BQ52</f>
        <v>1.7583252699999998</v>
      </c>
      <c r="AP52" s="523">
        <f t="shared" si="11"/>
        <v>0</v>
      </c>
      <c r="AQ52" s="523">
        <f t="shared" si="12"/>
        <v>0</v>
      </c>
      <c r="AR52" s="523">
        <f t="shared" si="13"/>
        <v>1.6480000000000001</v>
      </c>
      <c r="AS52" s="523">
        <f t="shared" si="14"/>
        <v>0</v>
      </c>
      <c r="AT52" s="523">
        <f t="shared" si="15"/>
        <v>0</v>
      </c>
      <c r="AU52" s="523">
        <f>SUM(AU53:AU58)</f>
        <v>0</v>
      </c>
      <c r="AV52" s="523">
        <f>SUM(AV53:AV58)</f>
        <v>0</v>
      </c>
      <c r="AW52" s="523">
        <f t="shared" ref="AW52:BV52" si="87">SUM(AW53:AW58)</f>
        <v>0</v>
      </c>
      <c r="AX52" s="523">
        <f t="shared" si="87"/>
        <v>0</v>
      </c>
      <c r="AY52" s="523">
        <f t="shared" si="87"/>
        <v>0</v>
      </c>
      <c r="AZ52" s="523">
        <f t="shared" si="87"/>
        <v>0</v>
      </c>
      <c r="BA52" s="523">
        <f t="shared" si="87"/>
        <v>0</v>
      </c>
      <c r="BB52" s="523">
        <f t="shared" si="87"/>
        <v>0</v>
      </c>
      <c r="BC52" s="523">
        <f>SUM(BC53:BC58)</f>
        <v>0.17795564</v>
      </c>
      <c r="BD52" s="523">
        <f t="shared" si="87"/>
        <v>0</v>
      </c>
      <c r="BE52" s="523">
        <f t="shared" si="87"/>
        <v>0</v>
      </c>
      <c r="BF52" s="523">
        <f t="shared" si="87"/>
        <v>8.5000000000000006E-2</v>
      </c>
      <c r="BG52" s="523">
        <f t="shared" si="87"/>
        <v>0</v>
      </c>
      <c r="BH52" s="523">
        <f t="shared" si="87"/>
        <v>0</v>
      </c>
      <c r="BI52" s="523">
        <f t="shared" si="87"/>
        <v>0</v>
      </c>
      <c r="BJ52" s="523">
        <f t="shared" si="87"/>
        <v>0.70433694000000002</v>
      </c>
      <c r="BK52" s="523">
        <f t="shared" si="87"/>
        <v>0</v>
      </c>
      <c r="BL52" s="523">
        <f t="shared" si="87"/>
        <v>0</v>
      </c>
      <c r="BM52" s="523">
        <f t="shared" si="87"/>
        <v>0.82000000000000006</v>
      </c>
      <c r="BN52" s="523">
        <f t="shared" si="87"/>
        <v>0</v>
      </c>
      <c r="BO52" s="523">
        <f t="shared" si="87"/>
        <v>0</v>
      </c>
      <c r="BP52" s="523">
        <f t="shared" si="87"/>
        <v>0</v>
      </c>
      <c r="BQ52" s="523">
        <f t="shared" si="87"/>
        <v>0.87603268999999995</v>
      </c>
      <c r="BR52" s="523">
        <f t="shared" si="87"/>
        <v>0</v>
      </c>
      <c r="BS52" s="523">
        <f t="shared" si="87"/>
        <v>0</v>
      </c>
      <c r="BT52" s="523">
        <f t="shared" si="87"/>
        <v>0.74299999999999999</v>
      </c>
      <c r="BU52" s="523">
        <f t="shared" si="87"/>
        <v>0</v>
      </c>
      <c r="BV52" s="523">
        <f t="shared" si="87"/>
        <v>0</v>
      </c>
      <c r="BW52" s="523">
        <f t="shared" si="17"/>
        <v>0</v>
      </c>
      <c r="BX52" s="565">
        <v>0</v>
      </c>
      <c r="BY52" s="173">
        <f t="shared" si="18"/>
        <v>-1.7583252699999998</v>
      </c>
      <c r="BZ52" s="555"/>
      <c r="CA52" s="592">
        <f>'10'!T47</f>
        <v>0</v>
      </c>
      <c r="CB52" s="581"/>
    </row>
    <row r="53" spans="1:80" s="120" customFormat="1" ht="63">
      <c r="A53" s="123" t="s">
        <v>1094</v>
      </c>
      <c r="B53" s="129" t="s">
        <v>1095</v>
      </c>
      <c r="C53" s="538" t="s">
        <v>876</v>
      </c>
      <c r="D53" s="524">
        <f t="shared" si="4"/>
        <v>0</v>
      </c>
      <c r="E53" s="524">
        <v>0</v>
      </c>
      <c r="F53" s="524">
        <v>0</v>
      </c>
      <c r="G53" s="524">
        <v>0</v>
      </c>
      <c r="H53" s="524">
        <v>0</v>
      </c>
      <c r="I53" s="524">
        <f t="shared" si="42"/>
        <v>0</v>
      </c>
      <c r="J53" s="524">
        <v>0</v>
      </c>
      <c r="K53" s="524">
        <v>0</v>
      </c>
      <c r="L53" s="515">
        <v>0</v>
      </c>
      <c r="M53" s="549">
        <v>0</v>
      </c>
      <c r="N53" s="515">
        <v>0</v>
      </c>
      <c r="O53" s="549">
        <v>0</v>
      </c>
      <c r="P53" s="515">
        <v>0</v>
      </c>
      <c r="Q53" s="549">
        <v>0</v>
      </c>
      <c r="R53" s="515">
        <v>0</v>
      </c>
      <c r="S53" s="549">
        <v>0</v>
      </c>
      <c r="T53" s="515">
        <v>0</v>
      </c>
      <c r="U53" s="549">
        <v>0</v>
      </c>
      <c r="V53" s="515">
        <v>0</v>
      </c>
      <c r="W53" s="549">
        <v>0</v>
      </c>
      <c r="X53" s="515">
        <v>0</v>
      </c>
      <c r="Y53" s="549">
        <v>0</v>
      </c>
      <c r="Z53" s="549">
        <v>0</v>
      </c>
      <c r="AA53" s="515">
        <v>0</v>
      </c>
      <c r="AB53" s="549">
        <v>0</v>
      </c>
      <c r="AC53" s="515">
        <v>0</v>
      </c>
      <c r="AD53" s="549">
        <v>0</v>
      </c>
      <c r="AE53" s="515">
        <v>0</v>
      </c>
      <c r="AF53" s="549">
        <v>0</v>
      </c>
      <c r="AG53" s="549">
        <v>0</v>
      </c>
      <c r="AH53" s="515">
        <v>0</v>
      </c>
      <c r="AI53" s="549">
        <v>0</v>
      </c>
      <c r="AJ53" s="515">
        <v>0</v>
      </c>
      <c r="AK53" s="549">
        <v>0</v>
      </c>
      <c r="AL53" s="515">
        <v>0</v>
      </c>
      <c r="AM53" s="549">
        <v>0</v>
      </c>
      <c r="AN53" s="522">
        <v>0</v>
      </c>
      <c r="AO53" s="522">
        <f>AV53+BC53+BJ53+BQ53</f>
        <v>0.17795564</v>
      </c>
      <c r="AP53" s="522">
        <f t="shared" ref="AP53:AP57" si="88">AW53+BD53+BK53+BR53</f>
        <v>0</v>
      </c>
      <c r="AQ53" s="522">
        <f t="shared" ref="AQ53:AQ57" si="89">AX53+BE53+BL53+BS53</f>
        <v>0</v>
      </c>
      <c r="AR53" s="522">
        <f t="shared" ref="AR53:AR57" si="90">AY53+BF53+BM53+BT53</f>
        <v>8.5000000000000006E-2</v>
      </c>
      <c r="AS53" s="522">
        <f t="shared" ref="AS53:AS57" si="91">AZ53+BG53+BN53+BU53</f>
        <v>0</v>
      </c>
      <c r="AT53" s="522">
        <f t="shared" ref="AT53:AT57" si="92">BA53+BH53+BO53+BV53</f>
        <v>0</v>
      </c>
      <c r="AU53" s="522">
        <v>0</v>
      </c>
      <c r="AV53" s="522">
        <v>0</v>
      </c>
      <c r="AW53" s="522">
        <v>0</v>
      </c>
      <c r="AX53" s="522">
        <v>0</v>
      </c>
      <c r="AY53" s="522">
        <v>0</v>
      </c>
      <c r="AZ53" s="522">
        <v>0</v>
      </c>
      <c r="BA53" s="522">
        <v>0</v>
      </c>
      <c r="BB53" s="522">
        <v>0</v>
      </c>
      <c r="BC53" s="522">
        <v>0.17795564</v>
      </c>
      <c r="BD53" s="522">
        <v>0</v>
      </c>
      <c r="BE53" s="522">
        <v>0</v>
      </c>
      <c r="BF53" s="522">
        <v>8.5000000000000006E-2</v>
      </c>
      <c r="BG53" s="522">
        <v>0</v>
      </c>
      <c r="BH53" s="522">
        <v>0</v>
      </c>
      <c r="BI53" s="522">
        <v>0</v>
      </c>
      <c r="BJ53" s="522">
        <f>'12'!O48</f>
        <v>0</v>
      </c>
      <c r="BK53" s="522">
        <v>0</v>
      </c>
      <c r="BL53" s="522">
        <v>0</v>
      </c>
      <c r="BM53" s="522">
        <v>0</v>
      </c>
      <c r="BN53" s="522">
        <v>0</v>
      </c>
      <c r="BO53" s="522">
        <v>0</v>
      </c>
      <c r="BP53" s="522">
        <v>0</v>
      </c>
      <c r="BQ53" s="522">
        <v>0</v>
      </c>
      <c r="BR53" s="522">
        <v>0</v>
      </c>
      <c r="BS53" s="522">
        <v>0</v>
      </c>
      <c r="BT53" s="522">
        <v>0</v>
      </c>
      <c r="BU53" s="522">
        <v>0</v>
      </c>
      <c r="BV53" s="522">
        <v>0</v>
      </c>
      <c r="BW53" s="522">
        <v>0</v>
      </c>
      <c r="BX53" s="531">
        <v>0</v>
      </c>
      <c r="BY53" s="174">
        <f t="shared" si="18"/>
        <v>-0.17795564</v>
      </c>
      <c r="BZ53" s="550"/>
      <c r="CA53" s="550"/>
      <c r="CB53" s="551"/>
    </row>
    <row r="54" spans="1:80" s="120" customFormat="1" ht="63">
      <c r="A54" s="123" t="s">
        <v>1096</v>
      </c>
      <c r="B54" s="129" t="s">
        <v>1149</v>
      </c>
      <c r="C54" s="538" t="s">
        <v>876</v>
      </c>
      <c r="D54" s="524">
        <f t="shared" si="4"/>
        <v>0</v>
      </c>
      <c r="E54" s="524">
        <v>0</v>
      </c>
      <c r="F54" s="524">
        <v>0</v>
      </c>
      <c r="G54" s="524">
        <v>0</v>
      </c>
      <c r="H54" s="524">
        <v>0</v>
      </c>
      <c r="I54" s="524">
        <f t="shared" si="42"/>
        <v>0</v>
      </c>
      <c r="J54" s="524">
        <v>0</v>
      </c>
      <c r="K54" s="524">
        <v>0</v>
      </c>
      <c r="L54" s="515">
        <v>0</v>
      </c>
      <c r="M54" s="549">
        <v>0</v>
      </c>
      <c r="N54" s="515">
        <v>0</v>
      </c>
      <c r="O54" s="549">
        <v>0</v>
      </c>
      <c r="P54" s="515">
        <v>0</v>
      </c>
      <c r="Q54" s="549">
        <v>0</v>
      </c>
      <c r="R54" s="515">
        <v>0</v>
      </c>
      <c r="S54" s="549">
        <v>0</v>
      </c>
      <c r="T54" s="515">
        <v>0</v>
      </c>
      <c r="U54" s="549">
        <v>0</v>
      </c>
      <c r="V54" s="515">
        <v>0</v>
      </c>
      <c r="W54" s="549">
        <v>0</v>
      </c>
      <c r="X54" s="515">
        <v>0</v>
      </c>
      <c r="Y54" s="549">
        <v>0</v>
      </c>
      <c r="Z54" s="549">
        <v>0</v>
      </c>
      <c r="AA54" s="515">
        <v>0</v>
      </c>
      <c r="AB54" s="549">
        <v>0</v>
      </c>
      <c r="AC54" s="515">
        <v>0</v>
      </c>
      <c r="AD54" s="549">
        <v>0</v>
      </c>
      <c r="AE54" s="515">
        <v>0</v>
      </c>
      <c r="AF54" s="549">
        <v>0</v>
      </c>
      <c r="AG54" s="549">
        <v>0</v>
      </c>
      <c r="AH54" s="515">
        <v>0</v>
      </c>
      <c r="AI54" s="549">
        <v>0</v>
      </c>
      <c r="AJ54" s="515">
        <v>0</v>
      </c>
      <c r="AK54" s="549">
        <v>0</v>
      </c>
      <c r="AL54" s="515">
        <v>0</v>
      </c>
      <c r="AM54" s="549">
        <v>0</v>
      </c>
      <c r="AN54" s="522">
        <v>0</v>
      </c>
      <c r="AO54" s="522">
        <f t="shared" ref="AO54" si="93">AV54+BC54+BJ54+BQ54</f>
        <v>0.12901647999999999</v>
      </c>
      <c r="AP54" s="522">
        <f t="shared" ref="AP54" si="94">AW54+BD54+BK54+BR54</f>
        <v>0</v>
      </c>
      <c r="AQ54" s="522">
        <f t="shared" ref="AQ54" si="95">AX54+BE54+BL54+BS54</f>
        <v>0</v>
      </c>
      <c r="AR54" s="522">
        <f t="shared" ref="AR54" si="96">AY54+BF54+BM54+BT54</f>
        <v>0.1</v>
      </c>
      <c r="AS54" s="522">
        <f t="shared" ref="AS54" si="97">AZ54+BG54+BN54+BU54</f>
        <v>0</v>
      </c>
      <c r="AT54" s="522">
        <f t="shared" ref="AT54" si="98">BA54+BH54+BO54+BV54</f>
        <v>0</v>
      </c>
      <c r="AU54" s="522">
        <v>0</v>
      </c>
      <c r="AV54" s="522">
        <v>0</v>
      </c>
      <c r="AW54" s="522">
        <v>0</v>
      </c>
      <c r="AX54" s="522">
        <v>0</v>
      </c>
      <c r="AY54" s="522">
        <v>0</v>
      </c>
      <c r="AZ54" s="522">
        <v>0</v>
      </c>
      <c r="BA54" s="522">
        <v>0</v>
      </c>
      <c r="BB54" s="522">
        <v>0</v>
      </c>
      <c r="BC54" s="522">
        <f>'12'!M48</f>
        <v>0</v>
      </c>
      <c r="BD54" s="522">
        <v>0</v>
      </c>
      <c r="BE54" s="522">
        <v>0</v>
      </c>
      <c r="BF54" s="522">
        <v>0</v>
      </c>
      <c r="BG54" s="522">
        <v>0</v>
      </c>
      <c r="BH54" s="522">
        <v>0</v>
      </c>
      <c r="BI54" s="522">
        <v>0</v>
      </c>
      <c r="BJ54" s="522">
        <v>0.12901647999999999</v>
      </c>
      <c r="BK54" s="522">
        <v>0</v>
      </c>
      <c r="BL54" s="522">
        <v>0</v>
      </c>
      <c r="BM54" s="522">
        <v>0.1</v>
      </c>
      <c r="BN54" s="522">
        <v>0</v>
      </c>
      <c r="BO54" s="522">
        <v>0</v>
      </c>
      <c r="BP54" s="522">
        <v>0</v>
      </c>
      <c r="BQ54" s="522">
        <v>0</v>
      </c>
      <c r="BR54" s="522">
        <v>0</v>
      </c>
      <c r="BS54" s="522">
        <v>0</v>
      </c>
      <c r="BT54" s="522">
        <v>0</v>
      </c>
      <c r="BU54" s="522">
        <v>0</v>
      </c>
      <c r="BV54" s="522">
        <v>0</v>
      </c>
      <c r="BW54" s="522">
        <v>0</v>
      </c>
      <c r="BX54" s="531">
        <v>0</v>
      </c>
      <c r="BY54" s="174">
        <f t="shared" si="18"/>
        <v>-0.12901647999999999</v>
      </c>
      <c r="BZ54" s="550"/>
      <c r="CA54" s="550"/>
      <c r="CB54" s="551"/>
    </row>
    <row r="55" spans="1:80" s="120" customFormat="1" ht="63">
      <c r="A55" s="123" t="s">
        <v>1097</v>
      </c>
      <c r="B55" s="129" t="s">
        <v>1165</v>
      </c>
      <c r="C55" s="538" t="s">
        <v>876</v>
      </c>
      <c r="D55" s="524">
        <f t="shared" si="4"/>
        <v>0</v>
      </c>
      <c r="E55" s="524">
        <v>0</v>
      </c>
      <c r="F55" s="524">
        <v>0</v>
      </c>
      <c r="G55" s="524">
        <v>0</v>
      </c>
      <c r="H55" s="524">
        <v>0</v>
      </c>
      <c r="I55" s="524">
        <f t="shared" si="42"/>
        <v>0</v>
      </c>
      <c r="J55" s="524">
        <v>0</v>
      </c>
      <c r="K55" s="524">
        <v>0</v>
      </c>
      <c r="L55" s="515">
        <v>0</v>
      </c>
      <c r="M55" s="549">
        <v>3.485912E-2</v>
      </c>
      <c r="N55" s="515">
        <v>0</v>
      </c>
      <c r="O55" s="549">
        <v>0</v>
      </c>
      <c r="P55" s="515">
        <v>0</v>
      </c>
      <c r="Q55" s="549">
        <v>0</v>
      </c>
      <c r="R55" s="515">
        <v>0</v>
      </c>
      <c r="S55" s="549">
        <v>0</v>
      </c>
      <c r="T55" s="515">
        <v>0</v>
      </c>
      <c r="U55" s="549">
        <v>0</v>
      </c>
      <c r="V55" s="515">
        <v>0</v>
      </c>
      <c r="W55" s="549">
        <v>0</v>
      </c>
      <c r="X55" s="515">
        <v>0</v>
      </c>
      <c r="Y55" s="549">
        <v>0</v>
      </c>
      <c r="Z55" s="549">
        <v>0</v>
      </c>
      <c r="AA55" s="515">
        <v>0</v>
      </c>
      <c r="AB55" s="549">
        <v>0</v>
      </c>
      <c r="AC55" s="515">
        <v>0</v>
      </c>
      <c r="AD55" s="549">
        <v>0</v>
      </c>
      <c r="AE55" s="515">
        <v>0</v>
      </c>
      <c r="AF55" s="549">
        <v>0</v>
      </c>
      <c r="AG55" s="549">
        <v>0</v>
      </c>
      <c r="AH55" s="515">
        <v>0</v>
      </c>
      <c r="AI55" s="549">
        <v>0</v>
      </c>
      <c r="AJ55" s="515">
        <v>0</v>
      </c>
      <c r="AK55" s="549">
        <v>0</v>
      </c>
      <c r="AL55" s="515">
        <v>0</v>
      </c>
      <c r="AM55" s="549">
        <v>0</v>
      </c>
      <c r="AN55" s="522">
        <v>0</v>
      </c>
      <c r="AO55" s="522">
        <f t="shared" ref="AO55:AO57" si="99">AV55+BC55+BJ55+BQ55</f>
        <v>3.485912E-2</v>
      </c>
      <c r="AP55" s="522">
        <f t="shared" si="88"/>
        <v>0</v>
      </c>
      <c r="AQ55" s="522">
        <f t="shared" si="89"/>
        <v>0</v>
      </c>
      <c r="AR55" s="522">
        <f t="shared" si="90"/>
        <v>0.14000000000000001</v>
      </c>
      <c r="AS55" s="522">
        <f t="shared" si="91"/>
        <v>0</v>
      </c>
      <c r="AT55" s="522">
        <f t="shared" si="92"/>
        <v>0</v>
      </c>
      <c r="AU55" s="522">
        <v>0</v>
      </c>
      <c r="AV55" s="522">
        <v>0</v>
      </c>
      <c r="AW55" s="522">
        <v>0</v>
      </c>
      <c r="AX55" s="522">
        <v>0</v>
      </c>
      <c r="AY55" s="522">
        <v>0</v>
      </c>
      <c r="AZ55" s="522">
        <v>0</v>
      </c>
      <c r="BA55" s="522">
        <v>0</v>
      </c>
      <c r="BB55" s="522">
        <v>0</v>
      </c>
      <c r="BC55" s="522">
        <f>'12'!M49</f>
        <v>0</v>
      </c>
      <c r="BD55" s="522">
        <v>0</v>
      </c>
      <c r="BE55" s="522">
        <v>0</v>
      </c>
      <c r="BF55" s="522">
        <v>0</v>
      </c>
      <c r="BG55" s="522">
        <v>0</v>
      </c>
      <c r="BH55" s="522">
        <v>0</v>
      </c>
      <c r="BI55" s="522">
        <v>0</v>
      </c>
      <c r="BJ55" s="522">
        <v>3.485912E-2</v>
      </c>
      <c r="BK55" s="522">
        <v>0</v>
      </c>
      <c r="BL55" s="522">
        <v>0</v>
      </c>
      <c r="BM55" s="522">
        <v>0.14000000000000001</v>
      </c>
      <c r="BN55" s="522">
        <v>0</v>
      </c>
      <c r="BO55" s="522">
        <v>0</v>
      </c>
      <c r="BP55" s="522">
        <v>0</v>
      </c>
      <c r="BQ55" s="522">
        <v>0</v>
      </c>
      <c r="BR55" s="522">
        <v>0</v>
      </c>
      <c r="BS55" s="522">
        <v>0</v>
      </c>
      <c r="BT55" s="522">
        <v>0</v>
      </c>
      <c r="BU55" s="522">
        <v>0</v>
      </c>
      <c r="BV55" s="522">
        <v>0</v>
      </c>
      <c r="BW55" s="522">
        <v>0</v>
      </c>
      <c r="BX55" s="531">
        <v>0</v>
      </c>
      <c r="BY55" s="174">
        <f t="shared" si="18"/>
        <v>-3.485912E-2</v>
      </c>
      <c r="BZ55" s="550"/>
      <c r="CA55" s="550"/>
      <c r="CB55" s="551"/>
    </row>
    <row r="56" spans="1:80" s="120" customFormat="1" ht="63">
      <c r="A56" s="123" t="s">
        <v>1098</v>
      </c>
      <c r="B56" s="129" t="s">
        <v>1151</v>
      </c>
      <c r="C56" s="538" t="s">
        <v>876</v>
      </c>
      <c r="D56" s="524">
        <f t="shared" si="4"/>
        <v>0</v>
      </c>
      <c r="E56" s="524">
        <v>0</v>
      </c>
      <c r="F56" s="524">
        <v>0</v>
      </c>
      <c r="G56" s="524">
        <v>0</v>
      </c>
      <c r="H56" s="524">
        <v>0</v>
      </c>
      <c r="I56" s="524">
        <f t="shared" si="42"/>
        <v>0</v>
      </c>
      <c r="J56" s="524">
        <v>0</v>
      </c>
      <c r="K56" s="524">
        <v>0</v>
      </c>
      <c r="L56" s="515">
        <v>0</v>
      </c>
      <c r="M56" s="549">
        <v>0</v>
      </c>
      <c r="N56" s="515">
        <v>0</v>
      </c>
      <c r="O56" s="549">
        <v>0</v>
      </c>
      <c r="P56" s="515">
        <v>0</v>
      </c>
      <c r="Q56" s="549">
        <v>0</v>
      </c>
      <c r="R56" s="515">
        <v>0</v>
      </c>
      <c r="S56" s="549">
        <v>0</v>
      </c>
      <c r="T56" s="515">
        <v>0</v>
      </c>
      <c r="U56" s="549">
        <v>0</v>
      </c>
      <c r="V56" s="515">
        <v>0</v>
      </c>
      <c r="W56" s="549">
        <v>0</v>
      </c>
      <c r="X56" s="515">
        <v>0</v>
      </c>
      <c r="Y56" s="549">
        <v>0</v>
      </c>
      <c r="Z56" s="549">
        <v>0</v>
      </c>
      <c r="AA56" s="515">
        <v>0</v>
      </c>
      <c r="AB56" s="549">
        <v>0</v>
      </c>
      <c r="AC56" s="515">
        <v>0</v>
      </c>
      <c r="AD56" s="549">
        <v>0</v>
      </c>
      <c r="AE56" s="515">
        <v>0</v>
      </c>
      <c r="AF56" s="549">
        <v>0</v>
      </c>
      <c r="AG56" s="549">
        <v>0</v>
      </c>
      <c r="AH56" s="515">
        <v>0</v>
      </c>
      <c r="AI56" s="549">
        <v>0</v>
      </c>
      <c r="AJ56" s="515">
        <v>0</v>
      </c>
      <c r="AK56" s="549">
        <v>0</v>
      </c>
      <c r="AL56" s="515">
        <v>0</v>
      </c>
      <c r="AM56" s="549">
        <v>0</v>
      </c>
      <c r="AN56" s="522">
        <v>0</v>
      </c>
      <c r="AO56" s="522">
        <f t="shared" si="99"/>
        <v>0.32547296999999997</v>
      </c>
      <c r="AP56" s="522">
        <f t="shared" si="88"/>
        <v>0</v>
      </c>
      <c r="AQ56" s="522">
        <f t="shared" si="89"/>
        <v>0</v>
      </c>
      <c r="AR56" s="522">
        <f t="shared" si="90"/>
        <v>0.28999999999999998</v>
      </c>
      <c r="AS56" s="522">
        <f t="shared" si="91"/>
        <v>0</v>
      </c>
      <c r="AT56" s="522">
        <f t="shared" si="92"/>
        <v>0</v>
      </c>
      <c r="AU56" s="522">
        <v>0</v>
      </c>
      <c r="AV56" s="522">
        <f>'12'!K51</f>
        <v>0</v>
      </c>
      <c r="AW56" s="522">
        <v>0</v>
      </c>
      <c r="AX56" s="522">
        <v>0</v>
      </c>
      <c r="AY56" s="522">
        <v>0</v>
      </c>
      <c r="AZ56" s="522">
        <v>0</v>
      </c>
      <c r="BA56" s="522">
        <v>0</v>
      </c>
      <c r="BB56" s="522">
        <v>0</v>
      </c>
      <c r="BC56" s="522">
        <f>'12'!M51</f>
        <v>0</v>
      </c>
      <c r="BD56" s="522">
        <v>0</v>
      </c>
      <c r="BE56" s="522">
        <v>0</v>
      </c>
      <c r="BF56" s="522">
        <v>0</v>
      </c>
      <c r="BG56" s="522">
        <v>0</v>
      </c>
      <c r="BH56" s="522">
        <v>0</v>
      </c>
      <c r="BI56" s="522">
        <v>0</v>
      </c>
      <c r="BJ56" s="522">
        <v>0.32547296999999997</v>
      </c>
      <c r="BK56" s="522">
        <v>0</v>
      </c>
      <c r="BL56" s="522">
        <v>0</v>
      </c>
      <c r="BM56" s="522">
        <v>0.28999999999999998</v>
      </c>
      <c r="BN56" s="522">
        <v>0</v>
      </c>
      <c r="BO56" s="522">
        <v>0</v>
      </c>
      <c r="BP56" s="522">
        <v>0</v>
      </c>
      <c r="BQ56" s="522">
        <v>0</v>
      </c>
      <c r="BR56" s="522">
        <v>0</v>
      </c>
      <c r="BS56" s="522">
        <v>0</v>
      </c>
      <c r="BT56" s="522">
        <v>0</v>
      </c>
      <c r="BU56" s="522">
        <v>0</v>
      </c>
      <c r="BV56" s="522">
        <v>0</v>
      </c>
      <c r="BW56" s="522">
        <v>0</v>
      </c>
      <c r="BX56" s="531">
        <v>0</v>
      </c>
      <c r="BY56" s="174">
        <f t="shared" si="18"/>
        <v>-0.32547296999999997</v>
      </c>
      <c r="BZ56" s="550"/>
      <c r="CA56" s="550"/>
      <c r="CB56" s="551"/>
    </row>
    <row r="57" spans="1:80" s="120" customFormat="1" ht="63">
      <c r="A57" s="123" t="s">
        <v>1099</v>
      </c>
      <c r="B57" s="129" t="s">
        <v>1150</v>
      </c>
      <c r="C57" s="538" t="s">
        <v>876</v>
      </c>
      <c r="D57" s="524">
        <f t="shared" si="4"/>
        <v>0</v>
      </c>
      <c r="E57" s="524">
        <v>0</v>
      </c>
      <c r="F57" s="524">
        <v>0</v>
      </c>
      <c r="G57" s="524">
        <v>0</v>
      </c>
      <c r="H57" s="524">
        <v>0</v>
      </c>
      <c r="I57" s="524">
        <f t="shared" si="42"/>
        <v>0</v>
      </c>
      <c r="J57" s="524">
        <v>0</v>
      </c>
      <c r="K57" s="524">
        <v>0</v>
      </c>
      <c r="L57" s="515">
        <v>0</v>
      </c>
      <c r="M57" s="549">
        <v>0</v>
      </c>
      <c r="N57" s="515">
        <v>0</v>
      </c>
      <c r="O57" s="549">
        <v>0</v>
      </c>
      <c r="P57" s="515">
        <v>0</v>
      </c>
      <c r="Q57" s="549">
        <v>0</v>
      </c>
      <c r="R57" s="515">
        <v>0</v>
      </c>
      <c r="S57" s="549">
        <v>0</v>
      </c>
      <c r="T57" s="515">
        <v>0</v>
      </c>
      <c r="U57" s="549">
        <v>0</v>
      </c>
      <c r="V57" s="515">
        <v>0</v>
      </c>
      <c r="W57" s="549">
        <v>0</v>
      </c>
      <c r="X57" s="515">
        <v>0</v>
      </c>
      <c r="Y57" s="549">
        <v>0</v>
      </c>
      <c r="Z57" s="549">
        <v>0</v>
      </c>
      <c r="AA57" s="515">
        <v>0</v>
      </c>
      <c r="AB57" s="549">
        <v>0</v>
      </c>
      <c r="AC57" s="515">
        <v>0</v>
      </c>
      <c r="AD57" s="549">
        <v>0</v>
      </c>
      <c r="AE57" s="515">
        <v>0</v>
      </c>
      <c r="AF57" s="549">
        <v>0</v>
      </c>
      <c r="AG57" s="549">
        <v>0</v>
      </c>
      <c r="AH57" s="515">
        <v>0</v>
      </c>
      <c r="AI57" s="549">
        <v>0</v>
      </c>
      <c r="AJ57" s="515">
        <v>0</v>
      </c>
      <c r="AK57" s="549">
        <v>0</v>
      </c>
      <c r="AL57" s="515">
        <v>0</v>
      </c>
      <c r="AM57" s="549">
        <v>0</v>
      </c>
      <c r="AN57" s="522">
        <v>0</v>
      </c>
      <c r="AO57" s="522">
        <f t="shared" si="99"/>
        <v>0.21498837000000001</v>
      </c>
      <c r="AP57" s="522">
        <f t="shared" si="88"/>
        <v>0</v>
      </c>
      <c r="AQ57" s="522">
        <f t="shared" si="89"/>
        <v>0</v>
      </c>
      <c r="AR57" s="522">
        <f t="shared" si="90"/>
        <v>0.28999999999999998</v>
      </c>
      <c r="AS57" s="522">
        <f t="shared" si="91"/>
        <v>0</v>
      </c>
      <c r="AT57" s="522">
        <f t="shared" si="92"/>
        <v>0</v>
      </c>
      <c r="AU57" s="522">
        <v>0</v>
      </c>
      <c r="AV57" s="522">
        <f>'12'!K53</f>
        <v>0</v>
      </c>
      <c r="AW57" s="522">
        <v>0</v>
      </c>
      <c r="AX57" s="522">
        <v>0</v>
      </c>
      <c r="AY57" s="522">
        <v>0</v>
      </c>
      <c r="AZ57" s="522">
        <v>0</v>
      </c>
      <c r="BA57" s="522">
        <v>0</v>
      </c>
      <c r="BB57" s="522">
        <v>0</v>
      </c>
      <c r="BC57" s="522">
        <v>0</v>
      </c>
      <c r="BD57" s="522">
        <v>0</v>
      </c>
      <c r="BE57" s="522">
        <v>0</v>
      </c>
      <c r="BF57" s="522">
        <v>0</v>
      </c>
      <c r="BG57" s="522">
        <v>0</v>
      </c>
      <c r="BH57" s="522">
        <v>0</v>
      </c>
      <c r="BI57" s="522">
        <v>0</v>
      </c>
      <c r="BJ57" s="522">
        <v>0.21498837000000001</v>
      </c>
      <c r="BK57" s="522">
        <v>0</v>
      </c>
      <c r="BL57" s="522">
        <v>0</v>
      </c>
      <c r="BM57" s="522">
        <v>0.28999999999999998</v>
      </c>
      <c r="BN57" s="522">
        <v>0</v>
      </c>
      <c r="BO57" s="522">
        <v>0</v>
      </c>
      <c r="BP57" s="522">
        <v>0</v>
      </c>
      <c r="BQ57" s="522">
        <v>0</v>
      </c>
      <c r="BR57" s="522">
        <v>0</v>
      </c>
      <c r="BS57" s="522">
        <v>0</v>
      </c>
      <c r="BT57" s="522">
        <v>0</v>
      </c>
      <c r="BU57" s="522">
        <v>0</v>
      </c>
      <c r="BV57" s="522">
        <v>0</v>
      </c>
      <c r="BW57" s="522">
        <v>0</v>
      </c>
      <c r="BX57" s="531">
        <v>0</v>
      </c>
      <c r="BY57" s="174">
        <f t="shared" si="18"/>
        <v>-0.21498837000000001</v>
      </c>
      <c r="BZ57" s="550"/>
      <c r="CA57" s="550"/>
      <c r="CB57" s="551"/>
    </row>
    <row r="58" spans="1:80" s="591" customFormat="1" ht="47.25">
      <c r="A58" s="123" t="s">
        <v>1152</v>
      </c>
      <c r="B58" s="129" t="s">
        <v>1153</v>
      </c>
      <c r="C58" s="590" t="s">
        <v>876</v>
      </c>
      <c r="D58" s="524">
        <f t="shared" si="4"/>
        <v>0</v>
      </c>
      <c r="E58" s="566">
        <v>0</v>
      </c>
      <c r="F58" s="566">
        <v>0</v>
      </c>
      <c r="G58" s="566">
        <v>0</v>
      </c>
      <c r="H58" s="566">
        <v>0</v>
      </c>
      <c r="I58" s="524">
        <f t="shared" si="42"/>
        <v>0</v>
      </c>
      <c r="J58" s="566">
        <v>0</v>
      </c>
      <c r="K58" s="566">
        <v>0</v>
      </c>
      <c r="L58" s="574">
        <v>0</v>
      </c>
      <c r="M58" s="583">
        <v>0</v>
      </c>
      <c r="N58" s="574">
        <v>0</v>
      </c>
      <c r="O58" s="583">
        <v>0</v>
      </c>
      <c r="P58" s="574">
        <v>0</v>
      </c>
      <c r="Q58" s="583">
        <v>0</v>
      </c>
      <c r="R58" s="574">
        <v>0</v>
      </c>
      <c r="S58" s="583">
        <v>0</v>
      </c>
      <c r="T58" s="574">
        <v>0</v>
      </c>
      <c r="U58" s="583">
        <v>0</v>
      </c>
      <c r="V58" s="574">
        <v>0</v>
      </c>
      <c r="W58" s="583">
        <v>0</v>
      </c>
      <c r="X58" s="574">
        <v>0</v>
      </c>
      <c r="Y58" s="583">
        <v>0</v>
      </c>
      <c r="Z58" s="583">
        <v>0</v>
      </c>
      <c r="AA58" s="574">
        <v>0</v>
      </c>
      <c r="AB58" s="583">
        <v>0</v>
      </c>
      <c r="AC58" s="574">
        <v>0</v>
      </c>
      <c r="AD58" s="583">
        <v>0</v>
      </c>
      <c r="AE58" s="574">
        <v>0</v>
      </c>
      <c r="AF58" s="583">
        <v>0</v>
      </c>
      <c r="AG58" s="583">
        <v>0</v>
      </c>
      <c r="AH58" s="574">
        <v>0</v>
      </c>
      <c r="AI58" s="583">
        <v>0</v>
      </c>
      <c r="AJ58" s="574">
        <v>0</v>
      </c>
      <c r="AK58" s="583">
        <v>0</v>
      </c>
      <c r="AL58" s="574">
        <v>0</v>
      </c>
      <c r="AM58" s="583">
        <v>0</v>
      </c>
      <c r="AN58" s="522">
        <v>0</v>
      </c>
      <c r="AO58" s="522">
        <f t="shared" ref="AO58" si="100">AV58+BC58+BJ58+BQ58</f>
        <v>0.87603268999999995</v>
      </c>
      <c r="AP58" s="522">
        <f t="shared" ref="AP58" si="101">AW58+BD58+BK58+BR58</f>
        <v>0</v>
      </c>
      <c r="AQ58" s="522">
        <f t="shared" ref="AQ58" si="102">AX58+BE58+BL58+BS58</f>
        <v>0</v>
      </c>
      <c r="AR58" s="522">
        <f t="shared" ref="AR58" si="103">AY58+BF58+BM58+BT58</f>
        <v>0.74299999999999999</v>
      </c>
      <c r="AS58" s="522">
        <f t="shared" ref="AS58" si="104">AZ58+BG58+BN58+BU58</f>
        <v>0</v>
      </c>
      <c r="AT58" s="522">
        <f t="shared" ref="AT58" si="105">BA58+BH58+BO58+BV58</f>
        <v>0</v>
      </c>
      <c r="AU58" s="522">
        <v>0</v>
      </c>
      <c r="AV58" s="522">
        <f>'12'!K54</f>
        <v>0</v>
      </c>
      <c r="AW58" s="522">
        <v>0</v>
      </c>
      <c r="AX58" s="522">
        <v>0</v>
      </c>
      <c r="AY58" s="522">
        <v>0</v>
      </c>
      <c r="AZ58" s="522">
        <v>0</v>
      </c>
      <c r="BA58" s="522">
        <v>0</v>
      </c>
      <c r="BB58" s="522">
        <v>0</v>
      </c>
      <c r="BC58" s="522">
        <f>'12'!M54</f>
        <v>0</v>
      </c>
      <c r="BD58" s="522">
        <v>0</v>
      </c>
      <c r="BE58" s="522">
        <v>0</v>
      </c>
      <c r="BF58" s="522">
        <v>0</v>
      </c>
      <c r="BG58" s="522">
        <v>0</v>
      </c>
      <c r="BH58" s="522">
        <v>0</v>
      </c>
      <c r="BI58" s="522">
        <v>0</v>
      </c>
      <c r="BJ58" s="522">
        <f>'12'!O53</f>
        <v>0</v>
      </c>
      <c r="BK58" s="522">
        <v>0</v>
      </c>
      <c r="BL58" s="522">
        <v>0</v>
      </c>
      <c r="BM58" s="522">
        <v>0</v>
      </c>
      <c r="BN58" s="522">
        <v>0</v>
      </c>
      <c r="BO58" s="522">
        <v>0</v>
      </c>
      <c r="BP58" s="522">
        <v>0</v>
      </c>
      <c r="BQ58" s="522">
        <v>0.87603268999999995</v>
      </c>
      <c r="BR58" s="522">
        <v>0</v>
      </c>
      <c r="BS58" s="522">
        <v>0</v>
      </c>
      <c r="BT58" s="522">
        <v>0.74299999999999999</v>
      </c>
      <c r="BU58" s="522">
        <v>0</v>
      </c>
      <c r="BV58" s="522">
        <v>0</v>
      </c>
      <c r="BW58" s="522">
        <v>0</v>
      </c>
      <c r="BX58" s="531">
        <v>0</v>
      </c>
      <c r="BY58" s="174">
        <f t="shared" si="18"/>
        <v>-0.87603268999999995</v>
      </c>
      <c r="BZ58" s="561"/>
      <c r="CA58" s="561"/>
      <c r="CB58" s="588"/>
    </row>
    <row r="59" spans="1:80" s="105" customFormat="1" ht="63">
      <c r="A59" s="146" t="s">
        <v>394</v>
      </c>
      <c r="B59" s="144" t="s">
        <v>894</v>
      </c>
      <c r="C59" s="125" t="s">
        <v>876</v>
      </c>
      <c r="D59" s="524">
        <f t="shared" si="4"/>
        <v>0</v>
      </c>
      <c r="E59" s="172">
        <f t="shared" si="30"/>
        <v>0</v>
      </c>
      <c r="F59" s="172">
        <f t="shared" si="31"/>
        <v>0</v>
      </c>
      <c r="G59" s="172">
        <f t="shared" si="32"/>
        <v>0</v>
      </c>
      <c r="H59" s="172">
        <f t="shared" si="33"/>
        <v>0</v>
      </c>
      <c r="I59" s="172">
        <f t="shared" ref="I59:I83" si="106">P59+W59+AD59+AK59</f>
        <v>0</v>
      </c>
      <c r="J59" s="172">
        <f t="shared" si="34"/>
        <v>0</v>
      </c>
      <c r="K59" s="172">
        <f t="shared" si="35"/>
        <v>0</v>
      </c>
      <c r="L59" s="177">
        <v>0</v>
      </c>
      <c r="M59" s="175">
        <v>0</v>
      </c>
      <c r="N59" s="177">
        <v>0</v>
      </c>
      <c r="O59" s="175">
        <v>0</v>
      </c>
      <c r="P59" s="177">
        <v>0</v>
      </c>
      <c r="Q59" s="175">
        <v>0</v>
      </c>
      <c r="R59" s="177">
        <v>0</v>
      </c>
      <c r="S59" s="175">
        <v>0</v>
      </c>
      <c r="T59" s="177">
        <v>0</v>
      </c>
      <c r="U59" s="175">
        <v>0</v>
      </c>
      <c r="V59" s="177">
        <v>0</v>
      </c>
      <c r="W59" s="175">
        <v>0</v>
      </c>
      <c r="X59" s="177">
        <v>0</v>
      </c>
      <c r="Y59" s="175">
        <v>0</v>
      </c>
      <c r="Z59" s="175">
        <v>0</v>
      </c>
      <c r="AA59" s="177">
        <v>0</v>
      </c>
      <c r="AB59" s="175">
        <v>0</v>
      </c>
      <c r="AC59" s="177">
        <v>0</v>
      </c>
      <c r="AD59" s="175">
        <v>0</v>
      </c>
      <c r="AE59" s="177">
        <v>0</v>
      </c>
      <c r="AF59" s="175">
        <v>0</v>
      </c>
      <c r="AG59" s="175">
        <v>0</v>
      </c>
      <c r="AH59" s="177">
        <v>0</v>
      </c>
      <c r="AI59" s="175">
        <v>0</v>
      </c>
      <c r="AJ59" s="177">
        <v>0</v>
      </c>
      <c r="AK59" s="175">
        <v>0</v>
      </c>
      <c r="AL59" s="177">
        <v>0</v>
      </c>
      <c r="AM59" s="175">
        <v>0</v>
      </c>
      <c r="AN59" s="174">
        <f t="shared" si="21"/>
        <v>0</v>
      </c>
      <c r="AO59" s="174">
        <f t="shared" si="22"/>
        <v>0</v>
      </c>
      <c r="AP59" s="174">
        <f t="shared" si="11"/>
        <v>0</v>
      </c>
      <c r="AQ59" s="174">
        <f t="shared" si="12"/>
        <v>0</v>
      </c>
      <c r="AR59" s="174">
        <f t="shared" si="13"/>
        <v>0</v>
      </c>
      <c r="AS59" s="174">
        <f t="shared" si="14"/>
        <v>0</v>
      </c>
      <c r="AT59" s="174">
        <f t="shared" si="15"/>
        <v>0</v>
      </c>
      <c r="AU59" s="174">
        <v>0</v>
      </c>
      <c r="AV59" s="174">
        <v>0</v>
      </c>
      <c r="AW59" s="174">
        <v>0</v>
      </c>
      <c r="AX59" s="174">
        <v>0</v>
      </c>
      <c r="AY59" s="174">
        <v>0</v>
      </c>
      <c r="AZ59" s="174">
        <v>0</v>
      </c>
      <c r="BA59" s="174">
        <v>0</v>
      </c>
      <c r="BB59" s="174">
        <v>0</v>
      </c>
      <c r="BC59" s="174">
        <v>0</v>
      </c>
      <c r="BD59" s="174">
        <v>0</v>
      </c>
      <c r="BE59" s="174">
        <v>0</v>
      </c>
      <c r="BF59" s="174">
        <v>0</v>
      </c>
      <c r="BG59" s="174">
        <v>0</v>
      </c>
      <c r="BH59" s="174">
        <v>0</v>
      </c>
      <c r="BI59" s="174">
        <v>0</v>
      </c>
      <c r="BJ59" s="522">
        <v>0</v>
      </c>
      <c r="BK59" s="522">
        <v>0</v>
      </c>
      <c r="BL59" s="522">
        <v>0</v>
      </c>
      <c r="BM59" s="522">
        <v>0</v>
      </c>
      <c r="BN59" s="522">
        <v>0</v>
      </c>
      <c r="BO59" s="522">
        <v>0</v>
      </c>
      <c r="BP59" s="174">
        <v>0</v>
      </c>
      <c r="BQ59" s="174">
        <v>0</v>
      </c>
      <c r="BR59" s="174">
        <v>0</v>
      </c>
      <c r="BS59" s="174">
        <v>0</v>
      </c>
      <c r="BT59" s="174">
        <v>0</v>
      </c>
      <c r="BU59" s="174">
        <v>0</v>
      </c>
      <c r="BV59" s="174">
        <v>0</v>
      </c>
      <c r="BW59" s="174">
        <f t="shared" si="17"/>
        <v>0</v>
      </c>
      <c r="BX59" s="219">
        <v>0</v>
      </c>
      <c r="BY59" s="173">
        <f t="shared" si="18"/>
        <v>0</v>
      </c>
      <c r="BZ59" s="67"/>
      <c r="CA59" s="163"/>
      <c r="CB59" s="60"/>
    </row>
    <row r="60" spans="1:80" s="105" customFormat="1" ht="47.25">
      <c r="A60" s="118" t="s">
        <v>744</v>
      </c>
      <c r="B60" s="144" t="s">
        <v>895</v>
      </c>
      <c r="C60" s="125" t="s">
        <v>876</v>
      </c>
      <c r="D60" s="524">
        <f t="shared" si="4"/>
        <v>0</v>
      </c>
      <c r="E60" s="172">
        <f t="shared" si="30"/>
        <v>0</v>
      </c>
      <c r="F60" s="172">
        <f t="shared" si="31"/>
        <v>0</v>
      </c>
      <c r="G60" s="172">
        <f t="shared" si="32"/>
        <v>0</v>
      </c>
      <c r="H60" s="172">
        <f t="shared" si="33"/>
        <v>0</v>
      </c>
      <c r="I60" s="172">
        <f t="shared" si="106"/>
        <v>0</v>
      </c>
      <c r="J60" s="172">
        <f t="shared" si="34"/>
        <v>0</v>
      </c>
      <c r="K60" s="172">
        <f t="shared" si="35"/>
        <v>0</v>
      </c>
      <c r="L60" s="177">
        <v>0</v>
      </c>
      <c r="M60" s="175">
        <v>0</v>
      </c>
      <c r="N60" s="177">
        <v>0</v>
      </c>
      <c r="O60" s="175">
        <v>0</v>
      </c>
      <c r="P60" s="177">
        <v>0</v>
      </c>
      <c r="Q60" s="175">
        <v>0</v>
      </c>
      <c r="R60" s="177">
        <v>0</v>
      </c>
      <c r="S60" s="175">
        <v>0</v>
      </c>
      <c r="T60" s="177">
        <v>0</v>
      </c>
      <c r="U60" s="175">
        <v>0</v>
      </c>
      <c r="V60" s="177">
        <v>0</v>
      </c>
      <c r="W60" s="175">
        <v>0</v>
      </c>
      <c r="X60" s="177">
        <v>0</v>
      </c>
      <c r="Y60" s="175">
        <v>0</v>
      </c>
      <c r="Z60" s="175">
        <v>0</v>
      </c>
      <c r="AA60" s="177">
        <v>0</v>
      </c>
      <c r="AB60" s="175">
        <v>0</v>
      </c>
      <c r="AC60" s="177">
        <v>0</v>
      </c>
      <c r="AD60" s="175">
        <v>0</v>
      </c>
      <c r="AE60" s="177">
        <v>0</v>
      </c>
      <c r="AF60" s="175">
        <v>0</v>
      </c>
      <c r="AG60" s="175">
        <v>0</v>
      </c>
      <c r="AH60" s="177">
        <v>0</v>
      </c>
      <c r="AI60" s="175">
        <v>0</v>
      </c>
      <c r="AJ60" s="177">
        <v>0</v>
      </c>
      <c r="AK60" s="175">
        <v>0</v>
      </c>
      <c r="AL60" s="177">
        <v>0</v>
      </c>
      <c r="AM60" s="175">
        <v>0</v>
      </c>
      <c r="AN60" s="174">
        <f t="shared" si="21"/>
        <v>0</v>
      </c>
      <c r="AO60" s="174">
        <f t="shared" si="22"/>
        <v>0</v>
      </c>
      <c r="AP60" s="174">
        <f t="shared" si="11"/>
        <v>0</v>
      </c>
      <c r="AQ60" s="174">
        <f t="shared" si="12"/>
        <v>0</v>
      </c>
      <c r="AR60" s="174">
        <f t="shared" si="13"/>
        <v>0</v>
      </c>
      <c r="AS60" s="174">
        <f t="shared" si="14"/>
        <v>0</v>
      </c>
      <c r="AT60" s="174">
        <f t="shared" si="15"/>
        <v>0</v>
      </c>
      <c r="AU60" s="174">
        <f t="shared" ref="AU60:BV60" si="107">AU61+AU62</f>
        <v>0</v>
      </c>
      <c r="AV60" s="174">
        <f t="shared" si="107"/>
        <v>0</v>
      </c>
      <c r="AW60" s="174">
        <f t="shared" si="107"/>
        <v>0</v>
      </c>
      <c r="AX60" s="174">
        <f t="shared" si="107"/>
        <v>0</v>
      </c>
      <c r="AY60" s="174">
        <f t="shared" si="107"/>
        <v>0</v>
      </c>
      <c r="AZ60" s="174">
        <f t="shared" si="107"/>
        <v>0</v>
      </c>
      <c r="BA60" s="174">
        <f t="shared" si="107"/>
        <v>0</v>
      </c>
      <c r="BB60" s="174">
        <f t="shared" si="107"/>
        <v>0</v>
      </c>
      <c r="BC60" s="174">
        <f t="shared" si="107"/>
        <v>0</v>
      </c>
      <c r="BD60" s="174">
        <f t="shared" si="107"/>
        <v>0</v>
      </c>
      <c r="BE60" s="174">
        <f t="shared" si="107"/>
        <v>0</v>
      </c>
      <c r="BF60" s="174">
        <f t="shared" si="107"/>
        <v>0</v>
      </c>
      <c r="BG60" s="174">
        <f t="shared" si="107"/>
        <v>0</v>
      </c>
      <c r="BH60" s="174">
        <f t="shared" si="107"/>
        <v>0</v>
      </c>
      <c r="BI60" s="174">
        <f t="shared" si="107"/>
        <v>0</v>
      </c>
      <c r="BJ60" s="522">
        <f t="shared" si="107"/>
        <v>0</v>
      </c>
      <c r="BK60" s="522">
        <f t="shared" si="107"/>
        <v>0</v>
      </c>
      <c r="BL60" s="522">
        <f t="shared" si="107"/>
        <v>0</v>
      </c>
      <c r="BM60" s="522">
        <f t="shared" si="107"/>
        <v>0</v>
      </c>
      <c r="BN60" s="522">
        <f t="shared" si="107"/>
        <v>0</v>
      </c>
      <c r="BO60" s="522">
        <f t="shared" si="107"/>
        <v>0</v>
      </c>
      <c r="BP60" s="174">
        <f t="shared" si="107"/>
        <v>0</v>
      </c>
      <c r="BQ60" s="174">
        <f t="shared" si="107"/>
        <v>0</v>
      </c>
      <c r="BR60" s="174">
        <f t="shared" si="107"/>
        <v>0</v>
      </c>
      <c r="BS60" s="174">
        <f t="shared" si="107"/>
        <v>0</v>
      </c>
      <c r="BT60" s="174">
        <f t="shared" si="107"/>
        <v>0</v>
      </c>
      <c r="BU60" s="174">
        <f t="shared" si="107"/>
        <v>0</v>
      </c>
      <c r="BV60" s="174">
        <f t="shared" si="107"/>
        <v>0</v>
      </c>
      <c r="BW60" s="174">
        <f t="shared" si="17"/>
        <v>0</v>
      </c>
      <c r="BX60" s="219">
        <v>0</v>
      </c>
      <c r="BY60" s="173">
        <f t="shared" si="18"/>
        <v>0</v>
      </c>
      <c r="BZ60" s="67"/>
      <c r="CA60" s="136" t="e">
        <f>'10'!#REF!</f>
        <v>#REF!</v>
      </c>
      <c r="CB60" s="60"/>
    </row>
    <row r="61" spans="1:80" s="105" customFormat="1" ht="78.75">
      <c r="A61" s="146" t="s">
        <v>415</v>
      </c>
      <c r="B61" s="144" t="s">
        <v>896</v>
      </c>
      <c r="C61" s="125" t="s">
        <v>876</v>
      </c>
      <c r="D61" s="524">
        <f t="shared" si="4"/>
        <v>0</v>
      </c>
      <c r="E61" s="172">
        <f t="shared" si="30"/>
        <v>0</v>
      </c>
      <c r="F61" s="172">
        <f t="shared" si="31"/>
        <v>0</v>
      </c>
      <c r="G61" s="172">
        <f t="shared" si="32"/>
        <v>0</v>
      </c>
      <c r="H61" s="172">
        <f t="shared" si="33"/>
        <v>0</v>
      </c>
      <c r="I61" s="172">
        <f t="shared" si="106"/>
        <v>0</v>
      </c>
      <c r="J61" s="172">
        <f t="shared" si="34"/>
        <v>0</v>
      </c>
      <c r="K61" s="172">
        <f t="shared" si="35"/>
        <v>0</v>
      </c>
      <c r="L61" s="177">
        <v>0</v>
      </c>
      <c r="M61" s="175">
        <v>0</v>
      </c>
      <c r="N61" s="177">
        <v>0</v>
      </c>
      <c r="O61" s="175">
        <v>0</v>
      </c>
      <c r="P61" s="177">
        <v>0</v>
      </c>
      <c r="Q61" s="175">
        <v>0</v>
      </c>
      <c r="R61" s="177">
        <v>0</v>
      </c>
      <c r="S61" s="175">
        <v>0</v>
      </c>
      <c r="T61" s="177">
        <v>0</v>
      </c>
      <c r="U61" s="175">
        <v>0</v>
      </c>
      <c r="V61" s="177">
        <v>0</v>
      </c>
      <c r="W61" s="175">
        <v>0</v>
      </c>
      <c r="X61" s="177">
        <v>0</v>
      </c>
      <c r="Y61" s="175">
        <v>0</v>
      </c>
      <c r="Z61" s="175">
        <v>0</v>
      </c>
      <c r="AA61" s="177">
        <v>0</v>
      </c>
      <c r="AB61" s="175">
        <v>0</v>
      </c>
      <c r="AC61" s="177">
        <v>0</v>
      </c>
      <c r="AD61" s="175">
        <v>0</v>
      </c>
      <c r="AE61" s="177">
        <v>0</v>
      </c>
      <c r="AF61" s="175">
        <v>0</v>
      </c>
      <c r="AG61" s="175">
        <v>0</v>
      </c>
      <c r="AH61" s="177">
        <v>0</v>
      </c>
      <c r="AI61" s="175">
        <v>0</v>
      </c>
      <c r="AJ61" s="177">
        <v>0</v>
      </c>
      <c r="AK61" s="175">
        <v>0</v>
      </c>
      <c r="AL61" s="177">
        <v>0</v>
      </c>
      <c r="AM61" s="175">
        <v>0</v>
      </c>
      <c r="AN61" s="174">
        <f t="shared" si="21"/>
        <v>0</v>
      </c>
      <c r="AO61" s="174">
        <f t="shared" si="22"/>
        <v>0</v>
      </c>
      <c r="AP61" s="174">
        <f t="shared" si="11"/>
        <v>0</v>
      </c>
      <c r="AQ61" s="174">
        <f t="shared" si="12"/>
        <v>0</v>
      </c>
      <c r="AR61" s="174">
        <f t="shared" si="13"/>
        <v>0</v>
      </c>
      <c r="AS61" s="174">
        <f t="shared" si="14"/>
        <v>0</v>
      </c>
      <c r="AT61" s="174">
        <f t="shared" si="15"/>
        <v>0</v>
      </c>
      <c r="AU61" s="174">
        <v>0</v>
      </c>
      <c r="AV61" s="174">
        <v>0</v>
      </c>
      <c r="AW61" s="174">
        <v>0</v>
      </c>
      <c r="AX61" s="174">
        <v>0</v>
      </c>
      <c r="AY61" s="174">
        <v>0</v>
      </c>
      <c r="AZ61" s="174">
        <v>0</v>
      </c>
      <c r="BA61" s="174">
        <v>0</v>
      </c>
      <c r="BB61" s="174">
        <v>0</v>
      </c>
      <c r="BC61" s="174">
        <v>0</v>
      </c>
      <c r="BD61" s="174">
        <v>0</v>
      </c>
      <c r="BE61" s="174">
        <v>0</v>
      </c>
      <c r="BF61" s="174">
        <v>0</v>
      </c>
      <c r="BG61" s="174">
        <v>0</v>
      </c>
      <c r="BH61" s="174">
        <v>0</v>
      </c>
      <c r="BI61" s="174">
        <v>0</v>
      </c>
      <c r="BJ61" s="522">
        <v>0</v>
      </c>
      <c r="BK61" s="522">
        <v>0</v>
      </c>
      <c r="BL61" s="522">
        <v>0</v>
      </c>
      <c r="BM61" s="522">
        <v>0</v>
      </c>
      <c r="BN61" s="522">
        <v>0</v>
      </c>
      <c r="BO61" s="522">
        <v>0</v>
      </c>
      <c r="BP61" s="174">
        <v>0</v>
      </c>
      <c r="BQ61" s="174">
        <v>0</v>
      </c>
      <c r="BR61" s="174">
        <v>0</v>
      </c>
      <c r="BS61" s="174">
        <v>0</v>
      </c>
      <c r="BT61" s="174">
        <v>0</v>
      </c>
      <c r="BU61" s="174">
        <v>0</v>
      </c>
      <c r="BV61" s="174">
        <v>0</v>
      </c>
      <c r="BW61" s="174">
        <f t="shared" si="17"/>
        <v>0</v>
      </c>
      <c r="BX61" s="219">
        <v>0</v>
      </c>
      <c r="BY61" s="173">
        <f t="shared" si="18"/>
        <v>0</v>
      </c>
      <c r="BZ61" s="67"/>
      <c r="CA61" s="136" t="e">
        <f>'10'!#REF!</f>
        <v>#REF!</v>
      </c>
      <c r="CB61" s="60"/>
    </row>
    <row r="62" spans="1:80" s="105" customFormat="1" ht="47.25">
      <c r="A62" s="146" t="s">
        <v>416</v>
      </c>
      <c r="B62" s="144" t="s">
        <v>897</v>
      </c>
      <c r="C62" s="125" t="s">
        <v>876</v>
      </c>
      <c r="D62" s="524">
        <f t="shared" si="4"/>
        <v>0</v>
      </c>
      <c r="E62" s="172">
        <f t="shared" si="30"/>
        <v>0</v>
      </c>
      <c r="F62" s="172">
        <f t="shared" si="31"/>
        <v>0</v>
      </c>
      <c r="G62" s="172">
        <f t="shared" si="32"/>
        <v>0</v>
      </c>
      <c r="H62" s="172">
        <f t="shared" si="33"/>
        <v>0</v>
      </c>
      <c r="I62" s="172">
        <f t="shared" si="106"/>
        <v>0</v>
      </c>
      <c r="J62" s="172">
        <f t="shared" si="34"/>
        <v>0</v>
      </c>
      <c r="K62" s="172">
        <f t="shared" si="35"/>
        <v>0</v>
      </c>
      <c r="L62" s="177">
        <v>0</v>
      </c>
      <c r="M62" s="175">
        <v>0</v>
      </c>
      <c r="N62" s="177">
        <v>0</v>
      </c>
      <c r="O62" s="175">
        <v>0</v>
      </c>
      <c r="P62" s="177">
        <v>0</v>
      </c>
      <c r="Q62" s="175">
        <v>0</v>
      </c>
      <c r="R62" s="177">
        <v>0</v>
      </c>
      <c r="S62" s="175">
        <v>0</v>
      </c>
      <c r="T62" s="177">
        <v>0</v>
      </c>
      <c r="U62" s="175">
        <v>0</v>
      </c>
      <c r="V62" s="177">
        <v>0</v>
      </c>
      <c r="W62" s="175">
        <v>0</v>
      </c>
      <c r="X62" s="177">
        <v>0</v>
      </c>
      <c r="Y62" s="175">
        <v>0</v>
      </c>
      <c r="Z62" s="175">
        <v>0</v>
      </c>
      <c r="AA62" s="177">
        <v>0</v>
      </c>
      <c r="AB62" s="175">
        <v>0</v>
      </c>
      <c r="AC62" s="177">
        <v>0</v>
      </c>
      <c r="AD62" s="175">
        <v>0</v>
      </c>
      <c r="AE62" s="177">
        <v>0</v>
      </c>
      <c r="AF62" s="175">
        <v>0</v>
      </c>
      <c r="AG62" s="175">
        <v>0</v>
      </c>
      <c r="AH62" s="177">
        <v>0</v>
      </c>
      <c r="AI62" s="175">
        <v>0</v>
      </c>
      <c r="AJ62" s="177">
        <v>0</v>
      </c>
      <c r="AK62" s="175">
        <v>0</v>
      </c>
      <c r="AL62" s="177">
        <v>0</v>
      </c>
      <c r="AM62" s="175">
        <v>0</v>
      </c>
      <c r="AN62" s="174">
        <f t="shared" si="21"/>
        <v>0</v>
      </c>
      <c r="AO62" s="174">
        <f t="shared" si="22"/>
        <v>0</v>
      </c>
      <c r="AP62" s="174">
        <f t="shared" si="11"/>
        <v>0</v>
      </c>
      <c r="AQ62" s="174">
        <f t="shared" si="12"/>
        <v>0</v>
      </c>
      <c r="AR62" s="174">
        <f t="shared" si="13"/>
        <v>0</v>
      </c>
      <c r="AS62" s="174">
        <f t="shared" si="14"/>
        <v>0</v>
      </c>
      <c r="AT62" s="174">
        <f t="shared" si="15"/>
        <v>0</v>
      </c>
      <c r="AU62" s="174">
        <v>0</v>
      </c>
      <c r="AV62" s="174">
        <v>0</v>
      </c>
      <c r="AW62" s="174">
        <v>0</v>
      </c>
      <c r="AX62" s="174">
        <v>0</v>
      </c>
      <c r="AY62" s="174">
        <v>0</v>
      </c>
      <c r="AZ62" s="174">
        <v>0</v>
      </c>
      <c r="BA62" s="174">
        <v>0</v>
      </c>
      <c r="BB62" s="174">
        <v>0</v>
      </c>
      <c r="BC62" s="174">
        <v>0</v>
      </c>
      <c r="BD62" s="174">
        <v>0</v>
      </c>
      <c r="BE62" s="174">
        <v>0</v>
      </c>
      <c r="BF62" s="174">
        <v>0</v>
      </c>
      <c r="BG62" s="174">
        <v>0</v>
      </c>
      <c r="BH62" s="174">
        <v>0</v>
      </c>
      <c r="BI62" s="174">
        <v>0</v>
      </c>
      <c r="BJ62" s="522">
        <v>0</v>
      </c>
      <c r="BK62" s="522">
        <v>0</v>
      </c>
      <c r="BL62" s="522">
        <v>0</v>
      </c>
      <c r="BM62" s="522">
        <v>0</v>
      </c>
      <c r="BN62" s="522">
        <v>0</v>
      </c>
      <c r="BO62" s="522">
        <v>0</v>
      </c>
      <c r="BP62" s="174">
        <v>0</v>
      </c>
      <c r="BQ62" s="174">
        <v>0</v>
      </c>
      <c r="BR62" s="174">
        <v>0</v>
      </c>
      <c r="BS62" s="174">
        <v>0</v>
      </c>
      <c r="BT62" s="174">
        <v>0</v>
      </c>
      <c r="BU62" s="174">
        <v>0</v>
      </c>
      <c r="BV62" s="174">
        <v>0</v>
      </c>
      <c r="BW62" s="174">
        <f t="shared" si="17"/>
        <v>0</v>
      </c>
      <c r="BX62" s="219">
        <v>0</v>
      </c>
      <c r="BY62" s="173">
        <f t="shared" si="18"/>
        <v>0</v>
      </c>
      <c r="BZ62" s="67"/>
      <c r="CA62" s="136" t="e">
        <f>'10'!#REF!</f>
        <v>#REF!</v>
      </c>
      <c r="CB62" s="60"/>
    </row>
    <row r="63" spans="1:80" s="105" customFormat="1" ht="63">
      <c r="A63" s="118" t="s">
        <v>745</v>
      </c>
      <c r="B63" s="144" t="s">
        <v>898</v>
      </c>
      <c r="C63" s="125" t="s">
        <v>876</v>
      </c>
      <c r="D63" s="524">
        <f t="shared" si="4"/>
        <v>0</v>
      </c>
      <c r="E63" s="172">
        <f t="shared" si="30"/>
        <v>0</v>
      </c>
      <c r="F63" s="172">
        <f t="shared" si="31"/>
        <v>0</v>
      </c>
      <c r="G63" s="172">
        <f t="shared" si="32"/>
        <v>0</v>
      </c>
      <c r="H63" s="172">
        <f t="shared" si="33"/>
        <v>0</v>
      </c>
      <c r="I63" s="172">
        <f t="shared" si="106"/>
        <v>0</v>
      </c>
      <c r="J63" s="172">
        <f t="shared" si="34"/>
        <v>0</v>
      </c>
      <c r="K63" s="172">
        <f t="shared" si="35"/>
        <v>0</v>
      </c>
      <c r="L63" s="177">
        <v>0</v>
      </c>
      <c r="M63" s="175">
        <v>0</v>
      </c>
      <c r="N63" s="177">
        <v>0</v>
      </c>
      <c r="O63" s="175">
        <v>0</v>
      </c>
      <c r="P63" s="177">
        <v>0</v>
      </c>
      <c r="Q63" s="175">
        <v>0</v>
      </c>
      <c r="R63" s="177">
        <v>0</v>
      </c>
      <c r="S63" s="175">
        <v>0</v>
      </c>
      <c r="T63" s="177">
        <v>0</v>
      </c>
      <c r="U63" s="175">
        <v>0</v>
      </c>
      <c r="V63" s="177">
        <v>0</v>
      </c>
      <c r="W63" s="175">
        <v>0</v>
      </c>
      <c r="X63" s="177">
        <v>0</v>
      </c>
      <c r="Y63" s="175">
        <v>0</v>
      </c>
      <c r="Z63" s="175">
        <v>0</v>
      </c>
      <c r="AA63" s="177">
        <v>0</v>
      </c>
      <c r="AB63" s="175">
        <v>0</v>
      </c>
      <c r="AC63" s="177">
        <v>0</v>
      </c>
      <c r="AD63" s="175">
        <v>0</v>
      </c>
      <c r="AE63" s="177">
        <v>0</v>
      </c>
      <c r="AF63" s="175">
        <v>0</v>
      </c>
      <c r="AG63" s="175">
        <v>0</v>
      </c>
      <c r="AH63" s="177">
        <v>0</v>
      </c>
      <c r="AI63" s="175">
        <v>0</v>
      </c>
      <c r="AJ63" s="177">
        <v>0</v>
      </c>
      <c r="AK63" s="175">
        <v>0</v>
      </c>
      <c r="AL63" s="177">
        <v>0</v>
      </c>
      <c r="AM63" s="175">
        <v>0</v>
      </c>
      <c r="AN63" s="174">
        <f t="shared" si="21"/>
        <v>0</v>
      </c>
      <c r="AO63" s="174">
        <f t="shared" si="22"/>
        <v>0</v>
      </c>
      <c r="AP63" s="174">
        <f t="shared" si="11"/>
        <v>0</v>
      </c>
      <c r="AQ63" s="174">
        <f t="shared" si="12"/>
        <v>0</v>
      </c>
      <c r="AR63" s="174">
        <f t="shared" si="13"/>
        <v>0</v>
      </c>
      <c r="AS63" s="174">
        <f t="shared" si="14"/>
        <v>0</v>
      </c>
      <c r="AT63" s="174">
        <f t="shared" si="15"/>
        <v>0</v>
      </c>
      <c r="AU63" s="174">
        <f t="shared" ref="AU63:BV63" si="108">AU64+AU65+AU66+AU67+AU68+AU69+AU70+AU71</f>
        <v>0</v>
      </c>
      <c r="AV63" s="174">
        <f t="shared" si="108"/>
        <v>0</v>
      </c>
      <c r="AW63" s="174">
        <f t="shared" si="108"/>
        <v>0</v>
      </c>
      <c r="AX63" s="174">
        <f t="shared" si="108"/>
        <v>0</v>
      </c>
      <c r="AY63" s="174">
        <f t="shared" si="108"/>
        <v>0</v>
      </c>
      <c r="AZ63" s="174">
        <f t="shared" si="108"/>
        <v>0</v>
      </c>
      <c r="BA63" s="174">
        <f t="shared" si="108"/>
        <v>0</v>
      </c>
      <c r="BB63" s="174">
        <f t="shared" si="108"/>
        <v>0</v>
      </c>
      <c r="BC63" s="174">
        <f t="shared" si="108"/>
        <v>0</v>
      </c>
      <c r="BD63" s="174">
        <f t="shared" si="108"/>
        <v>0</v>
      </c>
      <c r="BE63" s="174">
        <f t="shared" si="108"/>
        <v>0</v>
      </c>
      <c r="BF63" s="174">
        <f t="shared" si="108"/>
        <v>0</v>
      </c>
      <c r="BG63" s="174">
        <f t="shared" si="108"/>
        <v>0</v>
      </c>
      <c r="BH63" s="174">
        <f t="shared" si="108"/>
        <v>0</v>
      </c>
      <c r="BI63" s="174">
        <f t="shared" si="108"/>
        <v>0</v>
      </c>
      <c r="BJ63" s="522">
        <f t="shared" si="108"/>
        <v>0</v>
      </c>
      <c r="BK63" s="522">
        <f t="shared" si="108"/>
        <v>0</v>
      </c>
      <c r="BL63" s="522">
        <f t="shared" si="108"/>
        <v>0</v>
      </c>
      <c r="BM63" s="522">
        <f t="shared" si="108"/>
        <v>0</v>
      </c>
      <c r="BN63" s="522">
        <f t="shared" si="108"/>
        <v>0</v>
      </c>
      <c r="BO63" s="522">
        <f t="shared" si="108"/>
        <v>0</v>
      </c>
      <c r="BP63" s="174">
        <f t="shared" si="108"/>
        <v>0</v>
      </c>
      <c r="BQ63" s="174">
        <f t="shared" si="108"/>
        <v>0</v>
      </c>
      <c r="BR63" s="174">
        <f t="shared" si="108"/>
        <v>0</v>
      </c>
      <c r="BS63" s="174">
        <f t="shared" si="108"/>
        <v>0</v>
      </c>
      <c r="BT63" s="174">
        <f t="shared" si="108"/>
        <v>0</v>
      </c>
      <c r="BU63" s="174">
        <f t="shared" si="108"/>
        <v>0</v>
      </c>
      <c r="BV63" s="174">
        <f t="shared" si="108"/>
        <v>0</v>
      </c>
      <c r="BW63" s="174">
        <f t="shared" si="17"/>
        <v>0</v>
      </c>
      <c r="BX63" s="219">
        <v>0</v>
      </c>
      <c r="BY63" s="173">
        <f t="shared" si="18"/>
        <v>0</v>
      </c>
      <c r="BZ63" s="67"/>
      <c r="CA63" s="136" t="e">
        <f>'10'!#REF!</f>
        <v>#REF!</v>
      </c>
      <c r="CB63" s="60"/>
    </row>
    <row r="64" spans="1:80" s="105" customFormat="1" ht="47.25">
      <c r="A64" s="146" t="s">
        <v>899</v>
      </c>
      <c r="B64" s="144" t="s">
        <v>900</v>
      </c>
      <c r="C64" s="125" t="s">
        <v>876</v>
      </c>
      <c r="D64" s="524">
        <f t="shared" si="4"/>
        <v>0</v>
      </c>
      <c r="E64" s="172">
        <f t="shared" si="30"/>
        <v>0</v>
      </c>
      <c r="F64" s="172">
        <f t="shared" si="31"/>
        <v>0</v>
      </c>
      <c r="G64" s="172">
        <f t="shared" si="32"/>
        <v>0</v>
      </c>
      <c r="H64" s="172">
        <f t="shared" si="33"/>
        <v>0</v>
      </c>
      <c r="I64" s="172">
        <f t="shared" si="106"/>
        <v>0</v>
      </c>
      <c r="J64" s="172">
        <f t="shared" si="34"/>
        <v>0</v>
      </c>
      <c r="K64" s="172">
        <f t="shared" si="35"/>
        <v>0</v>
      </c>
      <c r="L64" s="177">
        <v>0</v>
      </c>
      <c r="M64" s="175">
        <v>0</v>
      </c>
      <c r="N64" s="177">
        <v>0</v>
      </c>
      <c r="O64" s="175">
        <v>0</v>
      </c>
      <c r="P64" s="177">
        <v>0</v>
      </c>
      <c r="Q64" s="175">
        <v>0</v>
      </c>
      <c r="R64" s="177">
        <v>0</v>
      </c>
      <c r="S64" s="175">
        <v>0</v>
      </c>
      <c r="T64" s="177">
        <v>0</v>
      </c>
      <c r="U64" s="175">
        <v>0</v>
      </c>
      <c r="V64" s="177">
        <v>0</v>
      </c>
      <c r="W64" s="175">
        <v>0</v>
      </c>
      <c r="X64" s="177">
        <v>0</v>
      </c>
      <c r="Y64" s="175">
        <v>0</v>
      </c>
      <c r="Z64" s="175">
        <v>0</v>
      </c>
      <c r="AA64" s="177">
        <v>0</v>
      </c>
      <c r="AB64" s="175">
        <v>0</v>
      </c>
      <c r="AC64" s="177">
        <v>0</v>
      </c>
      <c r="AD64" s="175">
        <v>0</v>
      </c>
      <c r="AE64" s="177">
        <v>0</v>
      </c>
      <c r="AF64" s="175">
        <v>0</v>
      </c>
      <c r="AG64" s="175">
        <v>0</v>
      </c>
      <c r="AH64" s="177">
        <v>0</v>
      </c>
      <c r="AI64" s="175">
        <v>0</v>
      </c>
      <c r="AJ64" s="177">
        <v>0</v>
      </c>
      <c r="AK64" s="175">
        <v>0</v>
      </c>
      <c r="AL64" s="177">
        <v>0</v>
      </c>
      <c r="AM64" s="175">
        <v>0</v>
      </c>
      <c r="AN64" s="174">
        <f t="shared" si="21"/>
        <v>0</v>
      </c>
      <c r="AO64" s="174">
        <f t="shared" si="22"/>
        <v>0</v>
      </c>
      <c r="AP64" s="174">
        <f t="shared" si="11"/>
        <v>0</v>
      </c>
      <c r="AQ64" s="174">
        <f t="shared" si="12"/>
        <v>0</v>
      </c>
      <c r="AR64" s="174">
        <f t="shared" si="13"/>
        <v>0</v>
      </c>
      <c r="AS64" s="174">
        <f t="shared" si="14"/>
        <v>0</v>
      </c>
      <c r="AT64" s="174">
        <f t="shared" si="15"/>
        <v>0</v>
      </c>
      <c r="AU64" s="174">
        <v>0</v>
      </c>
      <c r="AV64" s="174">
        <v>0</v>
      </c>
      <c r="AW64" s="174">
        <v>0</v>
      </c>
      <c r="AX64" s="174">
        <v>0</v>
      </c>
      <c r="AY64" s="174">
        <v>0</v>
      </c>
      <c r="AZ64" s="174">
        <v>0</v>
      </c>
      <c r="BA64" s="174">
        <v>0</v>
      </c>
      <c r="BB64" s="174">
        <v>0</v>
      </c>
      <c r="BC64" s="174">
        <v>0</v>
      </c>
      <c r="BD64" s="174">
        <v>0</v>
      </c>
      <c r="BE64" s="174">
        <v>0</v>
      </c>
      <c r="BF64" s="174">
        <v>0</v>
      </c>
      <c r="BG64" s="174">
        <v>0</v>
      </c>
      <c r="BH64" s="174">
        <v>0</v>
      </c>
      <c r="BI64" s="174">
        <v>0</v>
      </c>
      <c r="BJ64" s="522">
        <v>0</v>
      </c>
      <c r="BK64" s="522">
        <v>0</v>
      </c>
      <c r="BL64" s="522">
        <v>0</v>
      </c>
      <c r="BM64" s="522">
        <v>0</v>
      </c>
      <c r="BN64" s="522">
        <v>0</v>
      </c>
      <c r="BO64" s="522">
        <v>0</v>
      </c>
      <c r="BP64" s="174">
        <v>0</v>
      </c>
      <c r="BQ64" s="174">
        <v>0</v>
      </c>
      <c r="BR64" s="174">
        <v>0</v>
      </c>
      <c r="BS64" s="174">
        <v>0</v>
      </c>
      <c r="BT64" s="174">
        <v>0</v>
      </c>
      <c r="BU64" s="174">
        <v>0</v>
      </c>
      <c r="BV64" s="174">
        <v>0</v>
      </c>
      <c r="BW64" s="174">
        <f t="shared" si="17"/>
        <v>0</v>
      </c>
      <c r="BX64" s="219">
        <v>0</v>
      </c>
      <c r="BY64" s="173">
        <f t="shared" si="18"/>
        <v>0</v>
      </c>
      <c r="BZ64" s="67"/>
      <c r="CA64" s="136" t="e">
        <f>'10'!#REF!</f>
        <v>#REF!</v>
      </c>
      <c r="CB64" s="60"/>
    </row>
    <row r="65" spans="1:80" s="105" customFormat="1" ht="126">
      <c r="A65" s="146" t="s">
        <v>899</v>
      </c>
      <c r="B65" s="144" t="s">
        <v>901</v>
      </c>
      <c r="C65" s="125" t="s">
        <v>876</v>
      </c>
      <c r="D65" s="524">
        <f t="shared" si="4"/>
        <v>0</v>
      </c>
      <c r="E65" s="172">
        <f t="shared" si="30"/>
        <v>0</v>
      </c>
      <c r="F65" s="172">
        <f t="shared" si="31"/>
        <v>0</v>
      </c>
      <c r="G65" s="172">
        <f t="shared" si="32"/>
        <v>0</v>
      </c>
      <c r="H65" s="172">
        <f t="shared" si="33"/>
        <v>0</v>
      </c>
      <c r="I65" s="172">
        <f t="shared" si="106"/>
        <v>0</v>
      </c>
      <c r="J65" s="172">
        <f t="shared" si="34"/>
        <v>0</v>
      </c>
      <c r="K65" s="172">
        <f t="shared" si="35"/>
        <v>0</v>
      </c>
      <c r="L65" s="177">
        <v>0</v>
      </c>
      <c r="M65" s="175">
        <v>0</v>
      </c>
      <c r="N65" s="177">
        <v>0</v>
      </c>
      <c r="O65" s="175">
        <v>0</v>
      </c>
      <c r="P65" s="177">
        <v>0</v>
      </c>
      <c r="Q65" s="175">
        <v>0</v>
      </c>
      <c r="R65" s="177">
        <v>0</v>
      </c>
      <c r="S65" s="175">
        <v>0</v>
      </c>
      <c r="T65" s="177">
        <v>0</v>
      </c>
      <c r="U65" s="175">
        <v>0</v>
      </c>
      <c r="V65" s="177">
        <v>0</v>
      </c>
      <c r="W65" s="175">
        <v>0</v>
      </c>
      <c r="X65" s="177">
        <v>0</v>
      </c>
      <c r="Y65" s="175">
        <v>0</v>
      </c>
      <c r="Z65" s="175">
        <v>0</v>
      </c>
      <c r="AA65" s="177">
        <v>0</v>
      </c>
      <c r="AB65" s="175">
        <v>0</v>
      </c>
      <c r="AC65" s="177">
        <v>0</v>
      </c>
      <c r="AD65" s="175">
        <v>0</v>
      </c>
      <c r="AE65" s="177">
        <v>0</v>
      </c>
      <c r="AF65" s="175">
        <v>0</v>
      </c>
      <c r="AG65" s="175">
        <v>0</v>
      </c>
      <c r="AH65" s="177">
        <v>0</v>
      </c>
      <c r="AI65" s="175">
        <v>0</v>
      </c>
      <c r="AJ65" s="177">
        <v>0</v>
      </c>
      <c r="AK65" s="175">
        <v>0</v>
      </c>
      <c r="AL65" s="177">
        <v>0</v>
      </c>
      <c r="AM65" s="175">
        <v>0</v>
      </c>
      <c r="AN65" s="174">
        <f t="shared" si="21"/>
        <v>0</v>
      </c>
      <c r="AO65" s="174">
        <f t="shared" si="22"/>
        <v>0</v>
      </c>
      <c r="AP65" s="174">
        <f t="shared" si="11"/>
        <v>0</v>
      </c>
      <c r="AQ65" s="174">
        <f t="shared" si="12"/>
        <v>0</v>
      </c>
      <c r="AR65" s="174">
        <f t="shared" si="13"/>
        <v>0</v>
      </c>
      <c r="AS65" s="174">
        <f t="shared" si="14"/>
        <v>0</v>
      </c>
      <c r="AT65" s="174">
        <f t="shared" si="15"/>
        <v>0</v>
      </c>
      <c r="AU65" s="174">
        <v>0</v>
      </c>
      <c r="AV65" s="174">
        <v>0</v>
      </c>
      <c r="AW65" s="174">
        <v>0</v>
      </c>
      <c r="AX65" s="174">
        <v>0</v>
      </c>
      <c r="AY65" s="174">
        <v>0</v>
      </c>
      <c r="AZ65" s="174">
        <v>0</v>
      </c>
      <c r="BA65" s="174">
        <v>0</v>
      </c>
      <c r="BB65" s="174">
        <v>0</v>
      </c>
      <c r="BC65" s="174">
        <v>0</v>
      </c>
      <c r="BD65" s="174">
        <v>0</v>
      </c>
      <c r="BE65" s="174">
        <v>0</v>
      </c>
      <c r="BF65" s="174">
        <v>0</v>
      </c>
      <c r="BG65" s="174">
        <v>0</v>
      </c>
      <c r="BH65" s="174">
        <v>0</v>
      </c>
      <c r="BI65" s="174">
        <v>0</v>
      </c>
      <c r="BJ65" s="522">
        <v>0</v>
      </c>
      <c r="BK65" s="522">
        <v>0</v>
      </c>
      <c r="BL65" s="522">
        <v>0</v>
      </c>
      <c r="BM65" s="522">
        <v>0</v>
      </c>
      <c r="BN65" s="522">
        <v>0</v>
      </c>
      <c r="BO65" s="522">
        <v>0</v>
      </c>
      <c r="BP65" s="174">
        <v>0</v>
      </c>
      <c r="BQ65" s="174">
        <v>0</v>
      </c>
      <c r="BR65" s="174">
        <v>0</v>
      </c>
      <c r="BS65" s="174">
        <v>0</v>
      </c>
      <c r="BT65" s="174">
        <v>0</v>
      </c>
      <c r="BU65" s="174">
        <v>0</v>
      </c>
      <c r="BV65" s="174">
        <v>0</v>
      </c>
      <c r="BW65" s="174">
        <f t="shared" si="17"/>
        <v>0</v>
      </c>
      <c r="BX65" s="219">
        <v>0</v>
      </c>
      <c r="BY65" s="173">
        <f t="shared" si="18"/>
        <v>0</v>
      </c>
      <c r="BZ65" s="67"/>
      <c r="CA65" s="136" t="e">
        <f>'10'!#REF!</f>
        <v>#REF!</v>
      </c>
      <c r="CB65" s="60"/>
    </row>
    <row r="66" spans="1:80" s="105" customFormat="1" ht="110.25">
      <c r="A66" s="146" t="s">
        <v>899</v>
      </c>
      <c r="B66" s="144" t="s">
        <v>902</v>
      </c>
      <c r="C66" s="125" t="s">
        <v>876</v>
      </c>
      <c r="D66" s="524">
        <f t="shared" si="4"/>
        <v>0</v>
      </c>
      <c r="E66" s="172">
        <f t="shared" si="30"/>
        <v>0</v>
      </c>
      <c r="F66" s="172">
        <f t="shared" si="31"/>
        <v>0</v>
      </c>
      <c r="G66" s="172">
        <f t="shared" si="32"/>
        <v>0</v>
      </c>
      <c r="H66" s="172">
        <f t="shared" si="33"/>
        <v>0</v>
      </c>
      <c r="I66" s="172">
        <f t="shared" si="106"/>
        <v>0</v>
      </c>
      <c r="J66" s="172">
        <f t="shared" si="34"/>
        <v>0</v>
      </c>
      <c r="K66" s="172">
        <f t="shared" si="35"/>
        <v>0</v>
      </c>
      <c r="L66" s="177">
        <v>0</v>
      </c>
      <c r="M66" s="175">
        <v>0</v>
      </c>
      <c r="N66" s="177">
        <v>0</v>
      </c>
      <c r="O66" s="175">
        <v>0</v>
      </c>
      <c r="P66" s="177">
        <v>0</v>
      </c>
      <c r="Q66" s="175">
        <v>0</v>
      </c>
      <c r="R66" s="177">
        <v>0</v>
      </c>
      <c r="S66" s="175">
        <v>0</v>
      </c>
      <c r="T66" s="177">
        <v>0</v>
      </c>
      <c r="U66" s="175">
        <v>0</v>
      </c>
      <c r="V66" s="177">
        <v>0</v>
      </c>
      <c r="W66" s="175">
        <v>0</v>
      </c>
      <c r="X66" s="177">
        <v>0</v>
      </c>
      <c r="Y66" s="175">
        <v>0</v>
      </c>
      <c r="Z66" s="175">
        <v>0</v>
      </c>
      <c r="AA66" s="177">
        <v>0</v>
      </c>
      <c r="AB66" s="175">
        <v>0</v>
      </c>
      <c r="AC66" s="177">
        <v>0</v>
      </c>
      <c r="AD66" s="175">
        <v>0</v>
      </c>
      <c r="AE66" s="177">
        <v>0</v>
      </c>
      <c r="AF66" s="175">
        <v>0</v>
      </c>
      <c r="AG66" s="175">
        <v>0</v>
      </c>
      <c r="AH66" s="177">
        <v>0</v>
      </c>
      <c r="AI66" s="175">
        <v>0</v>
      </c>
      <c r="AJ66" s="177">
        <v>0</v>
      </c>
      <c r="AK66" s="175">
        <v>0</v>
      </c>
      <c r="AL66" s="177">
        <v>0</v>
      </c>
      <c r="AM66" s="175">
        <v>0</v>
      </c>
      <c r="AN66" s="174">
        <f t="shared" si="21"/>
        <v>0</v>
      </c>
      <c r="AO66" s="174">
        <f t="shared" si="22"/>
        <v>0</v>
      </c>
      <c r="AP66" s="174">
        <f t="shared" si="11"/>
        <v>0</v>
      </c>
      <c r="AQ66" s="174">
        <f t="shared" si="12"/>
        <v>0</v>
      </c>
      <c r="AR66" s="174">
        <f t="shared" si="13"/>
        <v>0</v>
      </c>
      <c r="AS66" s="174">
        <f t="shared" si="14"/>
        <v>0</v>
      </c>
      <c r="AT66" s="174">
        <f t="shared" si="15"/>
        <v>0</v>
      </c>
      <c r="AU66" s="174">
        <v>0</v>
      </c>
      <c r="AV66" s="174">
        <v>0</v>
      </c>
      <c r="AW66" s="174">
        <v>0</v>
      </c>
      <c r="AX66" s="174">
        <v>0</v>
      </c>
      <c r="AY66" s="174">
        <v>0</v>
      </c>
      <c r="AZ66" s="174">
        <v>0</v>
      </c>
      <c r="BA66" s="174">
        <v>0</v>
      </c>
      <c r="BB66" s="174">
        <v>0</v>
      </c>
      <c r="BC66" s="174">
        <v>0</v>
      </c>
      <c r="BD66" s="174">
        <v>0</v>
      </c>
      <c r="BE66" s="174">
        <v>0</v>
      </c>
      <c r="BF66" s="174">
        <v>0</v>
      </c>
      <c r="BG66" s="174">
        <v>0</v>
      </c>
      <c r="BH66" s="174">
        <v>0</v>
      </c>
      <c r="BI66" s="174">
        <v>0</v>
      </c>
      <c r="BJ66" s="522">
        <v>0</v>
      </c>
      <c r="BK66" s="522">
        <v>0</v>
      </c>
      <c r="BL66" s="522">
        <v>0</v>
      </c>
      <c r="BM66" s="522">
        <v>0</v>
      </c>
      <c r="BN66" s="522">
        <v>0</v>
      </c>
      <c r="BO66" s="522">
        <v>0</v>
      </c>
      <c r="BP66" s="174">
        <v>0</v>
      </c>
      <c r="BQ66" s="174">
        <v>0</v>
      </c>
      <c r="BR66" s="174">
        <v>0</v>
      </c>
      <c r="BS66" s="174">
        <v>0</v>
      </c>
      <c r="BT66" s="174">
        <v>0</v>
      </c>
      <c r="BU66" s="174">
        <v>0</v>
      </c>
      <c r="BV66" s="174">
        <v>0</v>
      </c>
      <c r="BW66" s="174">
        <f t="shared" si="17"/>
        <v>0</v>
      </c>
      <c r="BX66" s="219">
        <v>0</v>
      </c>
      <c r="BY66" s="173">
        <f t="shared" si="18"/>
        <v>0</v>
      </c>
      <c r="BZ66" s="67"/>
      <c r="CA66" s="136" t="e">
        <f>'10'!#REF!</f>
        <v>#REF!</v>
      </c>
      <c r="CB66" s="60"/>
    </row>
    <row r="67" spans="1:80" s="105" customFormat="1" ht="110.25">
      <c r="A67" s="146" t="s">
        <v>899</v>
      </c>
      <c r="B67" s="144" t="s">
        <v>903</v>
      </c>
      <c r="C67" s="125" t="s">
        <v>876</v>
      </c>
      <c r="D67" s="524">
        <f t="shared" si="4"/>
        <v>0</v>
      </c>
      <c r="E67" s="172">
        <f t="shared" si="30"/>
        <v>0</v>
      </c>
      <c r="F67" s="172">
        <f t="shared" si="31"/>
        <v>0</v>
      </c>
      <c r="G67" s="172">
        <f t="shared" si="32"/>
        <v>0</v>
      </c>
      <c r="H67" s="172">
        <f t="shared" si="33"/>
        <v>0</v>
      </c>
      <c r="I67" s="172">
        <f t="shared" si="106"/>
        <v>0</v>
      </c>
      <c r="J67" s="172">
        <f t="shared" si="34"/>
        <v>0</v>
      </c>
      <c r="K67" s="172">
        <f t="shared" si="35"/>
        <v>0</v>
      </c>
      <c r="L67" s="177">
        <v>0</v>
      </c>
      <c r="M67" s="175">
        <v>0</v>
      </c>
      <c r="N67" s="177">
        <v>0</v>
      </c>
      <c r="O67" s="175">
        <v>0</v>
      </c>
      <c r="P67" s="177">
        <v>0</v>
      </c>
      <c r="Q67" s="175">
        <v>0</v>
      </c>
      <c r="R67" s="177">
        <v>0</v>
      </c>
      <c r="S67" s="175">
        <v>0</v>
      </c>
      <c r="T67" s="177">
        <v>0</v>
      </c>
      <c r="U67" s="175">
        <v>0</v>
      </c>
      <c r="V67" s="177">
        <v>0</v>
      </c>
      <c r="W67" s="175">
        <v>0</v>
      </c>
      <c r="X67" s="177">
        <v>0</v>
      </c>
      <c r="Y67" s="175">
        <v>0</v>
      </c>
      <c r="Z67" s="175">
        <v>0</v>
      </c>
      <c r="AA67" s="177">
        <v>0</v>
      </c>
      <c r="AB67" s="175">
        <v>0</v>
      </c>
      <c r="AC67" s="177">
        <v>0</v>
      </c>
      <c r="AD67" s="175">
        <v>0</v>
      </c>
      <c r="AE67" s="177">
        <v>0</v>
      </c>
      <c r="AF67" s="175">
        <v>0</v>
      </c>
      <c r="AG67" s="175">
        <v>0</v>
      </c>
      <c r="AH67" s="177">
        <v>0</v>
      </c>
      <c r="AI67" s="175">
        <v>0</v>
      </c>
      <c r="AJ67" s="177">
        <v>0</v>
      </c>
      <c r="AK67" s="175">
        <v>0</v>
      </c>
      <c r="AL67" s="177">
        <v>0</v>
      </c>
      <c r="AM67" s="175">
        <v>0</v>
      </c>
      <c r="AN67" s="174">
        <f t="shared" si="21"/>
        <v>0</v>
      </c>
      <c r="AO67" s="174">
        <f t="shared" si="22"/>
        <v>0</v>
      </c>
      <c r="AP67" s="174">
        <f t="shared" si="11"/>
        <v>0</v>
      </c>
      <c r="AQ67" s="174">
        <f t="shared" si="12"/>
        <v>0</v>
      </c>
      <c r="AR67" s="174">
        <f t="shared" si="13"/>
        <v>0</v>
      </c>
      <c r="AS67" s="174">
        <f t="shared" si="14"/>
        <v>0</v>
      </c>
      <c r="AT67" s="174">
        <f t="shared" si="15"/>
        <v>0</v>
      </c>
      <c r="AU67" s="174">
        <v>0</v>
      </c>
      <c r="AV67" s="174">
        <v>0</v>
      </c>
      <c r="AW67" s="174">
        <v>0</v>
      </c>
      <c r="AX67" s="174">
        <v>0</v>
      </c>
      <c r="AY67" s="174">
        <v>0</v>
      </c>
      <c r="AZ67" s="174">
        <v>0</v>
      </c>
      <c r="BA67" s="174">
        <v>0</v>
      </c>
      <c r="BB67" s="174">
        <v>0</v>
      </c>
      <c r="BC67" s="174">
        <v>0</v>
      </c>
      <c r="BD67" s="174">
        <v>0</v>
      </c>
      <c r="BE67" s="174">
        <v>0</v>
      </c>
      <c r="BF67" s="174">
        <v>0</v>
      </c>
      <c r="BG67" s="174">
        <v>0</v>
      </c>
      <c r="BH67" s="174">
        <v>0</v>
      </c>
      <c r="BI67" s="174">
        <v>0</v>
      </c>
      <c r="BJ67" s="522">
        <v>0</v>
      </c>
      <c r="BK67" s="522">
        <v>0</v>
      </c>
      <c r="BL67" s="522">
        <v>0</v>
      </c>
      <c r="BM67" s="522">
        <v>0</v>
      </c>
      <c r="BN67" s="522">
        <v>0</v>
      </c>
      <c r="BO67" s="522">
        <v>0</v>
      </c>
      <c r="BP67" s="174">
        <v>0</v>
      </c>
      <c r="BQ67" s="174">
        <v>0</v>
      </c>
      <c r="BR67" s="174">
        <v>0</v>
      </c>
      <c r="BS67" s="174">
        <v>0</v>
      </c>
      <c r="BT67" s="174">
        <v>0</v>
      </c>
      <c r="BU67" s="174">
        <v>0</v>
      </c>
      <c r="BV67" s="174">
        <v>0</v>
      </c>
      <c r="BW67" s="174">
        <f t="shared" si="17"/>
        <v>0</v>
      </c>
      <c r="BX67" s="219">
        <v>0</v>
      </c>
      <c r="BY67" s="173">
        <f t="shared" si="18"/>
        <v>0</v>
      </c>
      <c r="BZ67" s="67"/>
      <c r="CA67" s="136" t="e">
        <f>'10'!#REF!</f>
        <v>#REF!</v>
      </c>
      <c r="CB67" s="60"/>
    </row>
    <row r="68" spans="1:80" s="105" customFormat="1" ht="47.25">
      <c r="A68" s="146" t="s">
        <v>904</v>
      </c>
      <c r="B68" s="144" t="s">
        <v>900</v>
      </c>
      <c r="C68" s="125" t="s">
        <v>876</v>
      </c>
      <c r="D68" s="524">
        <f t="shared" si="4"/>
        <v>0</v>
      </c>
      <c r="E68" s="172">
        <f t="shared" si="30"/>
        <v>0</v>
      </c>
      <c r="F68" s="172">
        <f t="shared" si="31"/>
        <v>0</v>
      </c>
      <c r="G68" s="172">
        <f t="shared" si="32"/>
        <v>0</v>
      </c>
      <c r="H68" s="172">
        <f t="shared" si="33"/>
        <v>0</v>
      </c>
      <c r="I68" s="172">
        <f t="shared" si="106"/>
        <v>0</v>
      </c>
      <c r="J68" s="172">
        <f t="shared" si="34"/>
        <v>0</v>
      </c>
      <c r="K68" s="172">
        <f t="shared" si="35"/>
        <v>0</v>
      </c>
      <c r="L68" s="177">
        <v>0</v>
      </c>
      <c r="M68" s="175">
        <v>0</v>
      </c>
      <c r="N68" s="177">
        <v>0</v>
      </c>
      <c r="O68" s="175">
        <v>0</v>
      </c>
      <c r="P68" s="177">
        <v>0</v>
      </c>
      <c r="Q68" s="175">
        <v>0</v>
      </c>
      <c r="R68" s="177">
        <v>0</v>
      </c>
      <c r="S68" s="175">
        <v>0</v>
      </c>
      <c r="T68" s="177">
        <v>0</v>
      </c>
      <c r="U68" s="175">
        <v>0</v>
      </c>
      <c r="V68" s="177">
        <v>0</v>
      </c>
      <c r="W68" s="175">
        <v>0</v>
      </c>
      <c r="X68" s="177">
        <v>0</v>
      </c>
      <c r="Y68" s="175">
        <v>0</v>
      </c>
      <c r="Z68" s="175">
        <v>0</v>
      </c>
      <c r="AA68" s="177">
        <v>0</v>
      </c>
      <c r="AB68" s="175">
        <v>0</v>
      </c>
      <c r="AC68" s="177">
        <v>0</v>
      </c>
      <c r="AD68" s="175">
        <v>0</v>
      </c>
      <c r="AE68" s="177">
        <v>0</v>
      </c>
      <c r="AF68" s="175">
        <v>0</v>
      </c>
      <c r="AG68" s="175">
        <v>0</v>
      </c>
      <c r="AH68" s="177">
        <v>0</v>
      </c>
      <c r="AI68" s="175">
        <v>0</v>
      </c>
      <c r="AJ68" s="177">
        <v>0</v>
      </c>
      <c r="AK68" s="175">
        <v>0</v>
      </c>
      <c r="AL68" s="177">
        <v>0</v>
      </c>
      <c r="AM68" s="175">
        <v>0</v>
      </c>
      <c r="AN68" s="174">
        <f t="shared" si="21"/>
        <v>0</v>
      </c>
      <c r="AO68" s="174">
        <f t="shared" si="22"/>
        <v>0</v>
      </c>
      <c r="AP68" s="174">
        <f t="shared" si="11"/>
        <v>0</v>
      </c>
      <c r="AQ68" s="174">
        <f t="shared" si="12"/>
        <v>0</v>
      </c>
      <c r="AR68" s="174">
        <f t="shared" si="13"/>
        <v>0</v>
      </c>
      <c r="AS68" s="174">
        <f t="shared" si="14"/>
        <v>0</v>
      </c>
      <c r="AT68" s="174">
        <f t="shared" si="15"/>
        <v>0</v>
      </c>
      <c r="AU68" s="174">
        <v>0</v>
      </c>
      <c r="AV68" s="174">
        <v>0</v>
      </c>
      <c r="AW68" s="174">
        <v>0</v>
      </c>
      <c r="AX68" s="174">
        <v>0</v>
      </c>
      <c r="AY68" s="174">
        <v>0</v>
      </c>
      <c r="AZ68" s="174">
        <v>0</v>
      </c>
      <c r="BA68" s="174">
        <v>0</v>
      </c>
      <c r="BB68" s="174">
        <v>0</v>
      </c>
      <c r="BC68" s="174">
        <v>0</v>
      </c>
      <c r="BD68" s="174">
        <v>0</v>
      </c>
      <c r="BE68" s="174">
        <v>0</v>
      </c>
      <c r="BF68" s="174">
        <v>0</v>
      </c>
      <c r="BG68" s="174">
        <v>0</v>
      </c>
      <c r="BH68" s="174">
        <v>0</v>
      </c>
      <c r="BI68" s="174">
        <v>0</v>
      </c>
      <c r="BJ68" s="522">
        <v>0</v>
      </c>
      <c r="BK68" s="522">
        <v>0</v>
      </c>
      <c r="BL68" s="522">
        <v>0</v>
      </c>
      <c r="BM68" s="522">
        <v>0</v>
      </c>
      <c r="BN68" s="522">
        <v>0</v>
      </c>
      <c r="BO68" s="522">
        <v>0</v>
      </c>
      <c r="BP68" s="174">
        <v>0</v>
      </c>
      <c r="BQ68" s="174">
        <v>0</v>
      </c>
      <c r="BR68" s="174">
        <v>0</v>
      </c>
      <c r="BS68" s="174">
        <v>0</v>
      </c>
      <c r="BT68" s="174">
        <v>0</v>
      </c>
      <c r="BU68" s="174">
        <v>0</v>
      </c>
      <c r="BV68" s="174">
        <v>0</v>
      </c>
      <c r="BW68" s="174">
        <f t="shared" si="17"/>
        <v>0</v>
      </c>
      <c r="BX68" s="219">
        <v>0</v>
      </c>
      <c r="BY68" s="173">
        <f t="shared" si="18"/>
        <v>0</v>
      </c>
      <c r="BZ68" s="67"/>
      <c r="CA68" s="136" t="e">
        <f>'10'!#REF!</f>
        <v>#REF!</v>
      </c>
      <c r="CB68" s="60"/>
    </row>
    <row r="69" spans="1:80" s="105" customFormat="1" ht="126">
      <c r="A69" s="146" t="s">
        <v>904</v>
      </c>
      <c r="B69" s="144" t="s">
        <v>901</v>
      </c>
      <c r="C69" s="125" t="s">
        <v>876</v>
      </c>
      <c r="D69" s="524">
        <f t="shared" si="4"/>
        <v>0</v>
      </c>
      <c r="E69" s="172">
        <f t="shared" si="30"/>
        <v>0</v>
      </c>
      <c r="F69" s="172">
        <f t="shared" si="31"/>
        <v>0</v>
      </c>
      <c r="G69" s="172">
        <f t="shared" si="32"/>
        <v>0</v>
      </c>
      <c r="H69" s="172">
        <f t="shared" si="33"/>
        <v>0</v>
      </c>
      <c r="I69" s="172">
        <f t="shared" si="106"/>
        <v>0</v>
      </c>
      <c r="J69" s="172">
        <f t="shared" si="34"/>
        <v>0</v>
      </c>
      <c r="K69" s="172">
        <f t="shared" si="35"/>
        <v>0</v>
      </c>
      <c r="L69" s="177">
        <v>0</v>
      </c>
      <c r="M69" s="175">
        <v>0</v>
      </c>
      <c r="N69" s="177">
        <v>0</v>
      </c>
      <c r="O69" s="175">
        <v>0</v>
      </c>
      <c r="P69" s="177">
        <v>0</v>
      </c>
      <c r="Q69" s="175">
        <v>0</v>
      </c>
      <c r="R69" s="177">
        <v>0</v>
      </c>
      <c r="S69" s="175">
        <v>0</v>
      </c>
      <c r="T69" s="177">
        <v>0</v>
      </c>
      <c r="U69" s="175">
        <v>0</v>
      </c>
      <c r="V69" s="177">
        <v>0</v>
      </c>
      <c r="W69" s="175">
        <v>0</v>
      </c>
      <c r="X69" s="177">
        <v>0</v>
      </c>
      <c r="Y69" s="175">
        <v>0</v>
      </c>
      <c r="Z69" s="175">
        <v>0</v>
      </c>
      <c r="AA69" s="177">
        <v>0</v>
      </c>
      <c r="AB69" s="175">
        <v>0</v>
      </c>
      <c r="AC69" s="177">
        <v>0</v>
      </c>
      <c r="AD69" s="175">
        <v>0</v>
      </c>
      <c r="AE69" s="177">
        <v>0</v>
      </c>
      <c r="AF69" s="175">
        <v>0</v>
      </c>
      <c r="AG69" s="175">
        <v>0</v>
      </c>
      <c r="AH69" s="177">
        <v>0</v>
      </c>
      <c r="AI69" s="175">
        <v>0</v>
      </c>
      <c r="AJ69" s="177">
        <v>0</v>
      </c>
      <c r="AK69" s="175">
        <v>0</v>
      </c>
      <c r="AL69" s="177">
        <v>0</v>
      </c>
      <c r="AM69" s="175">
        <v>0</v>
      </c>
      <c r="AN69" s="174">
        <f t="shared" si="21"/>
        <v>0</v>
      </c>
      <c r="AO69" s="174">
        <f t="shared" si="22"/>
        <v>0</v>
      </c>
      <c r="AP69" s="174">
        <f t="shared" si="11"/>
        <v>0</v>
      </c>
      <c r="AQ69" s="174">
        <f t="shared" si="12"/>
        <v>0</v>
      </c>
      <c r="AR69" s="174">
        <f t="shared" si="13"/>
        <v>0</v>
      </c>
      <c r="AS69" s="174">
        <f t="shared" si="14"/>
        <v>0</v>
      </c>
      <c r="AT69" s="174">
        <f t="shared" si="15"/>
        <v>0</v>
      </c>
      <c r="AU69" s="174">
        <v>0</v>
      </c>
      <c r="AV69" s="174">
        <v>0</v>
      </c>
      <c r="AW69" s="174">
        <v>0</v>
      </c>
      <c r="AX69" s="174">
        <v>0</v>
      </c>
      <c r="AY69" s="174">
        <v>0</v>
      </c>
      <c r="AZ69" s="174">
        <v>0</v>
      </c>
      <c r="BA69" s="174">
        <v>0</v>
      </c>
      <c r="BB69" s="174">
        <v>0</v>
      </c>
      <c r="BC69" s="174">
        <v>0</v>
      </c>
      <c r="BD69" s="174">
        <v>0</v>
      </c>
      <c r="BE69" s="174">
        <v>0</v>
      </c>
      <c r="BF69" s="174">
        <v>0</v>
      </c>
      <c r="BG69" s="174">
        <v>0</v>
      </c>
      <c r="BH69" s="174">
        <v>0</v>
      </c>
      <c r="BI69" s="174">
        <v>0</v>
      </c>
      <c r="BJ69" s="522">
        <v>0</v>
      </c>
      <c r="BK69" s="522">
        <v>0</v>
      </c>
      <c r="BL69" s="522">
        <v>0</v>
      </c>
      <c r="BM69" s="522">
        <v>0</v>
      </c>
      <c r="BN69" s="522">
        <v>0</v>
      </c>
      <c r="BO69" s="522">
        <v>0</v>
      </c>
      <c r="BP69" s="174">
        <v>0</v>
      </c>
      <c r="BQ69" s="174">
        <v>0</v>
      </c>
      <c r="BR69" s="174">
        <v>0</v>
      </c>
      <c r="BS69" s="174">
        <v>0</v>
      </c>
      <c r="BT69" s="174">
        <v>0</v>
      </c>
      <c r="BU69" s="174">
        <v>0</v>
      </c>
      <c r="BV69" s="174">
        <v>0</v>
      </c>
      <c r="BW69" s="174">
        <f t="shared" si="17"/>
        <v>0</v>
      </c>
      <c r="BX69" s="219">
        <v>0</v>
      </c>
      <c r="BY69" s="173">
        <f t="shared" si="18"/>
        <v>0</v>
      </c>
      <c r="BZ69" s="67"/>
      <c r="CA69" s="136" t="e">
        <f>'10'!#REF!</f>
        <v>#REF!</v>
      </c>
      <c r="CB69" s="60"/>
    </row>
    <row r="70" spans="1:80" s="105" customFormat="1" ht="110.25">
      <c r="A70" s="146" t="s">
        <v>904</v>
      </c>
      <c r="B70" s="144" t="s">
        <v>902</v>
      </c>
      <c r="C70" s="125" t="s">
        <v>876</v>
      </c>
      <c r="D70" s="524">
        <f t="shared" si="4"/>
        <v>0</v>
      </c>
      <c r="E70" s="172">
        <f t="shared" si="30"/>
        <v>0</v>
      </c>
      <c r="F70" s="172">
        <f t="shared" si="31"/>
        <v>0</v>
      </c>
      <c r="G70" s="172">
        <f t="shared" si="32"/>
        <v>0</v>
      </c>
      <c r="H70" s="172">
        <f t="shared" si="33"/>
        <v>0</v>
      </c>
      <c r="I70" s="172">
        <f t="shared" si="106"/>
        <v>0</v>
      </c>
      <c r="J70" s="172">
        <f t="shared" si="34"/>
        <v>0</v>
      </c>
      <c r="K70" s="172">
        <f t="shared" si="35"/>
        <v>0</v>
      </c>
      <c r="L70" s="177">
        <v>0</v>
      </c>
      <c r="M70" s="175">
        <v>0</v>
      </c>
      <c r="N70" s="177">
        <v>0</v>
      </c>
      <c r="O70" s="175">
        <v>0</v>
      </c>
      <c r="P70" s="177">
        <v>0</v>
      </c>
      <c r="Q70" s="175">
        <v>0</v>
      </c>
      <c r="R70" s="177">
        <v>0</v>
      </c>
      <c r="S70" s="175">
        <v>0</v>
      </c>
      <c r="T70" s="177">
        <v>0</v>
      </c>
      <c r="U70" s="175">
        <v>0</v>
      </c>
      <c r="V70" s="177">
        <v>0</v>
      </c>
      <c r="W70" s="175">
        <v>0</v>
      </c>
      <c r="X70" s="177">
        <v>0</v>
      </c>
      <c r="Y70" s="175">
        <v>0</v>
      </c>
      <c r="Z70" s="175">
        <v>0</v>
      </c>
      <c r="AA70" s="177">
        <v>0</v>
      </c>
      <c r="AB70" s="175">
        <v>0</v>
      </c>
      <c r="AC70" s="177">
        <v>0</v>
      </c>
      <c r="AD70" s="175">
        <v>0</v>
      </c>
      <c r="AE70" s="177">
        <v>0</v>
      </c>
      <c r="AF70" s="175">
        <v>0</v>
      </c>
      <c r="AG70" s="175">
        <v>0</v>
      </c>
      <c r="AH70" s="177">
        <v>0</v>
      </c>
      <c r="AI70" s="175">
        <v>0</v>
      </c>
      <c r="AJ70" s="177">
        <v>0</v>
      </c>
      <c r="AK70" s="175">
        <v>0</v>
      </c>
      <c r="AL70" s="177">
        <v>0</v>
      </c>
      <c r="AM70" s="175">
        <v>0</v>
      </c>
      <c r="AN70" s="174">
        <f t="shared" si="21"/>
        <v>0</v>
      </c>
      <c r="AO70" s="174">
        <f t="shared" si="22"/>
        <v>0</v>
      </c>
      <c r="AP70" s="174">
        <f t="shared" si="11"/>
        <v>0</v>
      </c>
      <c r="AQ70" s="174">
        <f t="shared" si="12"/>
        <v>0</v>
      </c>
      <c r="AR70" s="174">
        <f t="shared" si="13"/>
        <v>0</v>
      </c>
      <c r="AS70" s="174">
        <f t="shared" si="14"/>
        <v>0</v>
      </c>
      <c r="AT70" s="174">
        <f t="shared" si="15"/>
        <v>0</v>
      </c>
      <c r="AU70" s="174">
        <v>0</v>
      </c>
      <c r="AV70" s="174">
        <v>0</v>
      </c>
      <c r="AW70" s="174">
        <v>0</v>
      </c>
      <c r="AX70" s="174">
        <v>0</v>
      </c>
      <c r="AY70" s="174">
        <v>0</v>
      </c>
      <c r="AZ70" s="174">
        <v>0</v>
      </c>
      <c r="BA70" s="174">
        <v>0</v>
      </c>
      <c r="BB70" s="174">
        <v>0</v>
      </c>
      <c r="BC70" s="174">
        <v>0</v>
      </c>
      <c r="BD70" s="174">
        <v>0</v>
      </c>
      <c r="BE70" s="174">
        <v>0</v>
      </c>
      <c r="BF70" s="174">
        <v>0</v>
      </c>
      <c r="BG70" s="174">
        <v>0</v>
      </c>
      <c r="BH70" s="174">
        <v>0</v>
      </c>
      <c r="BI70" s="174">
        <v>0</v>
      </c>
      <c r="BJ70" s="522">
        <v>0</v>
      </c>
      <c r="BK70" s="522">
        <v>0</v>
      </c>
      <c r="BL70" s="522">
        <v>0</v>
      </c>
      <c r="BM70" s="522">
        <v>0</v>
      </c>
      <c r="BN70" s="522">
        <v>0</v>
      </c>
      <c r="BO70" s="522">
        <v>0</v>
      </c>
      <c r="BP70" s="174">
        <v>0</v>
      </c>
      <c r="BQ70" s="174">
        <v>0</v>
      </c>
      <c r="BR70" s="174">
        <v>0</v>
      </c>
      <c r="BS70" s="174">
        <v>0</v>
      </c>
      <c r="BT70" s="174">
        <v>0</v>
      </c>
      <c r="BU70" s="174">
        <v>0</v>
      </c>
      <c r="BV70" s="174">
        <v>0</v>
      </c>
      <c r="BW70" s="174">
        <f t="shared" si="17"/>
        <v>0</v>
      </c>
      <c r="BX70" s="219">
        <v>0</v>
      </c>
      <c r="BY70" s="173">
        <f t="shared" si="18"/>
        <v>0</v>
      </c>
      <c r="BZ70" s="67"/>
      <c r="CA70" s="136" t="e">
        <f>'10'!#REF!</f>
        <v>#REF!</v>
      </c>
      <c r="CB70" s="60"/>
    </row>
    <row r="71" spans="1:80" s="105" customFormat="1" ht="110.25">
      <c r="A71" s="146" t="s">
        <v>904</v>
      </c>
      <c r="B71" s="144" t="s">
        <v>903</v>
      </c>
      <c r="C71" s="125" t="s">
        <v>876</v>
      </c>
      <c r="D71" s="524">
        <f t="shared" si="4"/>
        <v>0</v>
      </c>
      <c r="E71" s="172">
        <f t="shared" si="30"/>
        <v>0</v>
      </c>
      <c r="F71" s="172">
        <f t="shared" si="31"/>
        <v>0</v>
      </c>
      <c r="G71" s="172">
        <f t="shared" si="32"/>
        <v>0</v>
      </c>
      <c r="H71" s="172">
        <f t="shared" si="33"/>
        <v>0</v>
      </c>
      <c r="I71" s="172">
        <f t="shared" si="106"/>
        <v>0</v>
      </c>
      <c r="J71" s="172">
        <f t="shared" si="34"/>
        <v>0</v>
      </c>
      <c r="K71" s="172">
        <f t="shared" si="35"/>
        <v>0</v>
      </c>
      <c r="L71" s="177">
        <v>0</v>
      </c>
      <c r="M71" s="175">
        <v>0</v>
      </c>
      <c r="N71" s="177">
        <v>0</v>
      </c>
      <c r="O71" s="175">
        <v>0</v>
      </c>
      <c r="P71" s="177">
        <v>0</v>
      </c>
      <c r="Q71" s="175">
        <v>0</v>
      </c>
      <c r="R71" s="177">
        <v>0</v>
      </c>
      <c r="S71" s="175">
        <v>0</v>
      </c>
      <c r="T71" s="177">
        <v>0</v>
      </c>
      <c r="U71" s="175">
        <v>0</v>
      </c>
      <c r="V71" s="177">
        <v>0</v>
      </c>
      <c r="W71" s="175">
        <v>0</v>
      </c>
      <c r="X71" s="177">
        <v>0</v>
      </c>
      <c r="Y71" s="175">
        <v>0</v>
      </c>
      <c r="Z71" s="175">
        <v>0</v>
      </c>
      <c r="AA71" s="177">
        <v>0</v>
      </c>
      <c r="AB71" s="175">
        <v>0</v>
      </c>
      <c r="AC71" s="177">
        <v>0</v>
      </c>
      <c r="AD71" s="175">
        <v>0</v>
      </c>
      <c r="AE71" s="177">
        <v>0</v>
      </c>
      <c r="AF71" s="175">
        <v>0</v>
      </c>
      <c r="AG71" s="175">
        <v>0</v>
      </c>
      <c r="AH71" s="177">
        <v>0</v>
      </c>
      <c r="AI71" s="175">
        <v>0</v>
      </c>
      <c r="AJ71" s="177">
        <v>0</v>
      </c>
      <c r="AK71" s="175">
        <v>0</v>
      </c>
      <c r="AL71" s="177">
        <v>0</v>
      </c>
      <c r="AM71" s="175">
        <v>0</v>
      </c>
      <c r="AN71" s="174">
        <f t="shared" si="21"/>
        <v>0</v>
      </c>
      <c r="AO71" s="174">
        <f t="shared" si="22"/>
        <v>0</v>
      </c>
      <c r="AP71" s="174">
        <f t="shared" si="11"/>
        <v>0</v>
      </c>
      <c r="AQ71" s="174">
        <f t="shared" si="12"/>
        <v>0</v>
      </c>
      <c r="AR71" s="174">
        <f t="shared" si="13"/>
        <v>0</v>
      </c>
      <c r="AS71" s="174">
        <f t="shared" si="14"/>
        <v>0</v>
      </c>
      <c r="AT71" s="174">
        <f t="shared" si="15"/>
        <v>0</v>
      </c>
      <c r="AU71" s="174">
        <v>0</v>
      </c>
      <c r="AV71" s="174">
        <v>0</v>
      </c>
      <c r="AW71" s="174">
        <v>0</v>
      </c>
      <c r="AX71" s="174">
        <v>0</v>
      </c>
      <c r="AY71" s="174">
        <v>0</v>
      </c>
      <c r="AZ71" s="174">
        <v>0</v>
      </c>
      <c r="BA71" s="174">
        <v>0</v>
      </c>
      <c r="BB71" s="174">
        <v>0</v>
      </c>
      <c r="BC71" s="174">
        <v>0</v>
      </c>
      <c r="BD71" s="174">
        <v>0</v>
      </c>
      <c r="BE71" s="174">
        <v>0</v>
      </c>
      <c r="BF71" s="174">
        <v>0</v>
      </c>
      <c r="BG71" s="174">
        <v>0</v>
      </c>
      <c r="BH71" s="174">
        <v>0</v>
      </c>
      <c r="BI71" s="174">
        <v>0</v>
      </c>
      <c r="BJ71" s="522">
        <v>0</v>
      </c>
      <c r="BK71" s="522">
        <v>0</v>
      </c>
      <c r="BL71" s="522">
        <v>0</v>
      </c>
      <c r="BM71" s="522">
        <v>0</v>
      </c>
      <c r="BN71" s="522">
        <v>0</v>
      </c>
      <c r="BO71" s="522">
        <v>0</v>
      </c>
      <c r="BP71" s="174">
        <v>0</v>
      </c>
      <c r="BQ71" s="174">
        <v>0</v>
      </c>
      <c r="BR71" s="174">
        <v>0</v>
      </c>
      <c r="BS71" s="174">
        <v>0</v>
      </c>
      <c r="BT71" s="174">
        <v>0</v>
      </c>
      <c r="BU71" s="174">
        <v>0</v>
      </c>
      <c r="BV71" s="174">
        <v>0</v>
      </c>
      <c r="BW71" s="174">
        <f t="shared" si="17"/>
        <v>0</v>
      </c>
      <c r="BX71" s="219">
        <v>0</v>
      </c>
      <c r="BY71" s="173">
        <f t="shared" si="18"/>
        <v>0</v>
      </c>
      <c r="BZ71" s="67"/>
      <c r="CA71" s="136" t="e">
        <f>'10'!#REF!</f>
        <v>#REF!</v>
      </c>
      <c r="CB71" s="60"/>
    </row>
    <row r="72" spans="1:80" s="105" customFormat="1" ht="94.5">
      <c r="A72" s="118" t="s">
        <v>905</v>
      </c>
      <c r="B72" s="144" t="s">
        <v>906</v>
      </c>
      <c r="C72" s="125" t="s">
        <v>876</v>
      </c>
      <c r="D72" s="524">
        <f t="shared" si="4"/>
        <v>0</v>
      </c>
      <c r="E72" s="172">
        <f t="shared" si="30"/>
        <v>0</v>
      </c>
      <c r="F72" s="172">
        <f t="shared" si="31"/>
        <v>0</v>
      </c>
      <c r="G72" s="172">
        <f t="shared" si="32"/>
        <v>0</v>
      </c>
      <c r="H72" s="172">
        <f t="shared" si="33"/>
        <v>0</v>
      </c>
      <c r="I72" s="172">
        <f t="shared" si="106"/>
        <v>0</v>
      </c>
      <c r="J72" s="172">
        <f t="shared" si="34"/>
        <v>0</v>
      </c>
      <c r="K72" s="172">
        <f t="shared" si="35"/>
        <v>0</v>
      </c>
      <c r="L72" s="177">
        <v>0</v>
      </c>
      <c r="M72" s="175">
        <v>0</v>
      </c>
      <c r="N72" s="177">
        <v>0</v>
      </c>
      <c r="O72" s="175">
        <v>0</v>
      </c>
      <c r="P72" s="177">
        <v>0</v>
      </c>
      <c r="Q72" s="175">
        <v>0</v>
      </c>
      <c r="R72" s="177">
        <v>0</v>
      </c>
      <c r="S72" s="175">
        <v>0</v>
      </c>
      <c r="T72" s="177">
        <v>0</v>
      </c>
      <c r="U72" s="175">
        <v>0</v>
      </c>
      <c r="V72" s="177">
        <v>0</v>
      </c>
      <c r="W72" s="175">
        <v>0</v>
      </c>
      <c r="X72" s="177">
        <v>0</v>
      </c>
      <c r="Y72" s="175">
        <v>0</v>
      </c>
      <c r="Z72" s="175">
        <v>0</v>
      </c>
      <c r="AA72" s="177">
        <v>0</v>
      </c>
      <c r="AB72" s="175">
        <v>0</v>
      </c>
      <c r="AC72" s="177">
        <v>0</v>
      </c>
      <c r="AD72" s="175">
        <v>0</v>
      </c>
      <c r="AE72" s="177">
        <v>0</v>
      </c>
      <c r="AF72" s="175">
        <v>0</v>
      </c>
      <c r="AG72" s="175">
        <v>0</v>
      </c>
      <c r="AH72" s="177">
        <v>0</v>
      </c>
      <c r="AI72" s="175">
        <v>0</v>
      </c>
      <c r="AJ72" s="177">
        <v>0</v>
      </c>
      <c r="AK72" s="175">
        <v>0</v>
      </c>
      <c r="AL72" s="177">
        <v>0</v>
      </c>
      <c r="AM72" s="175">
        <v>0</v>
      </c>
      <c r="AN72" s="174">
        <f t="shared" si="21"/>
        <v>0</v>
      </c>
      <c r="AO72" s="174">
        <f t="shared" si="22"/>
        <v>0</v>
      </c>
      <c r="AP72" s="174">
        <f t="shared" si="11"/>
        <v>0</v>
      </c>
      <c r="AQ72" s="174">
        <f t="shared" si="12"/>
        <v>0</v>
      </c>
      <c r="AR72" s="174">
        <f t="shared" si="13"/>
        <v>0</v>
      </c>
      <c r="AS72" s="174">
        <f t="shared" si="14"/>
        <v>0</v>
      </c>
      <c r="AT72" s="174">
        <f t="shared" si="15"/>
        <v>0</v>
      </c>
      <c r="AU72" s="174">
        <f t="shared" ref="AU72:BV72" si="109">AU73+AU74</f>
        <v>0</v>
      </c>
      <c r="AV72" s="174">
        <f t="shared" si="109"/>
        <v>0</v>
      </c>
      <c r="AW72" s="174">
        <f t="shared" si="109"/>
        <v>0</v>
      </c>
      <c r="AX72" s="174">
        <f t="shared" si="109"/>
        <v>0</v>
      </c>
      <c r="AY72" s="174">
        <f t="shared" si="109"/>
        <v>0</v>
      </c>
      <c r="AZ72" s="174">
        <f t="shared" si="109"/>
        <v>0</v>
      </c>
      <c r="BA72" s="174">
        <f t="shared" si="109"/>
        <v>0</v>
      </c>
      <c r="BB72" s="174">
        <f t="shared" si="109"/>
        <v>0</v>
      </c>
      <c r="BC72" s="174">
        <f t="shared" si="109"/>
        <v>0</v>
      </c>
      <c r="BD72" s="174">
        <f t="shared" si="109"/>
        <v>0</v>
      </c>
      <c r="BE72" s="174">
        <f t="shared" si="109"/>
        <v>0</v>
      </c>
      <c r="BF72" s="174">
        <f t="shared" si="109"/>
        <v>0</v>
      </c>
      <c r="BG72" s="174">
        <f t="shared" si="109"/>
        <v>0</v>
      </c>
      <c r="BH72" s="174">
        <f t="shared" si="109"/>
        <v>0</v>
      </c>
      <c r="BI72" s="174">
        <f t="shared" si="109"/>
        <v>0</v>
      </c>
      <c r="BJ72" s="522">
        <f t="shared" si="109"/>
        <v>0</v>
      </c>
      <c r="BK72" s="522">
        <f t="shared" si="109"/>
        <v>0</v>
      </c>
      <c r="BL72" s="522">
        <f t="shared" si="109"/>
        <v>0</v>
      </c>
      <c r="BM72" s="522">
        <f t="shared" si="109"/>
        <v>0</v>
      </c>
      <c r="BN72" s="522">
        <f t="shared" si="109"/>
        <v>0</v>
      </c>
      <c r="BO72" s="522">
        <f t="shared" si="109"/>
        <v>0</v>
      </c>
      <c r="BP72" s="174">
        <f t="shared" si="109"/>
        <v>0</v>
      </c>
      <c r="BQ72" s="174">
        <f t="shared" si="109"/>
        <v>0</v>
      </c>
      <c r="BR72" s="174">
        <f t="shared" si="109"/>
        <v>0</v>
      </c>
      <c r="BS72" s="174">
        <f t="shared" si="109"/>
        <v>0</v>
      </c>
      <c r="BT72" s="174">
        <f t="shared" si="109"/>
        <v>0</v>
      </c>
      <c r="BU72" s="174">
        <f t="shared" si="109"/>
        <v>0</v>
      </c>
      <c r="BV72" s="174">
        <f t="shared" si="109"/>
        <v>0</v>
      </c>
      <c r="BW72" s="174">
        <f t="shared" si="17"/>
        <v>0</v>
      </c>
      <c r="BX72" s="219">
        <v>0</v>
      </c>
      <c r="BY72" s="173">
        <f t="shared" si="18"/>
        <v>0</v>
      </c>
      <c r="BZ72" s="67"/>
      <c r="CA72" s="136" t="e">
        <f>'10'!#REF!</f>
        <v>#REF!</v>
      </c>
      <c r="CB72" s="60"/>
    </row>
    <row r="73" spans="1:80" s="105" customFormat="1" ht="110.25">
      <c r="A73" s="146" t="s">
        <v>907</v>
      </c>
      <c r="B73" s="144" t="s">
        <v>902</v>
      </c>
      <c r="C73" s="125" t="s">
        <v>876</v>
      </c>
      <c r="D73" s="524">
        <f t="shared" si="4"/>
        <v>0</v>
      </c>
      <c r="E73" s="172">
        <f t="shared" si="30"/>
        <v>0</v>
      </c>
      <c r="F73" s="172">
        <f t="shared" si="31"/>
        <v>0</v>
      </c>
      <c r="G73" s="172">
        <f t="shared" si="32"/>
        <v>0</v>
      </c>
      <c r="H73" s="172">
        <f t="shared" si="33"/>
        <v>0</v>
      </c>
      <c r="I73" s="172">
        <f t="shared" si="106"/>
        <v>0</v>
      </c>
      <c r="J73" s="172">
        <f t="shared" si="34"/>
        <v>0</v>
      </c>
      <c r="K73" s="172">
        <f t="shared" si="35"/>
        <v>0</v>
      </c>
      <c r="L73" s="177">
        <v>0</v>
      </c>
      <c r="M73" s="175">
        <v>0</v>
      </c>
      <c r="N73" s="177">
        <v>0</v>
      </c>
      <c r="O73" s="175">
        <v>0</v>
      </c>
      <c r="P73" s="177">
        <v>0</v>
      </c>
      <c r="Q73" s="175">
        <v>0</v>
      </c>
      <c r="R73" s="177">
        <v>0</v>
      </c>
      <c r="S73" s="175">
        <v>0</v>
      </c>
      <c r="T73" s="177">
        <v>0</v>
      </c>
      <c r="U73" s="175">
        <v>0</v>
      </c>
      <c r="V73" s="177">
        <v>0</v>
      </c>
      <c r="W73" s="175">
        <v>0</v>
      </c>
      <c r="X73" s="177">
        <v>0</v>
      </c>
      <c r="Y73" s="175">
        <v>0</v>
      </c>
      <c r="Z73" s="175">
        <v>0</v>
      </c>
      <c r="AA73" s="177">
        <v>0</v>
      </c>
      <c r="AB73" s="175">
        <v>0</v>
      </c>
      <c r="AC73" s="177">
        <v>0</v>
      </c>
      <c r="AD73" s="175">
        <v>0</v>
      </c>
      <c r="AE73" s="177">
        <v>0</v>
      </c>
      <c r="AF73" s="175">
        <v>0</v>
      </c>
      <c r="AG73" s="175">
        <v>0</v>
      </c>
      <c r="AH73" s="177">
        <v>0</v>
      </c>
      <c r="AI73" s="175">
        <v>0</v>
      </c>
      <c r="AJ73" s="177">
        <v>0</v>
      </c>
      <c r="AK73" s="175">
        <v>0</v>
      </c>
      <c r="AL73" s="177">
        <v>0</v>
      </c>
      <c r="AM73" s="175">
        <v>0</v>
      </c>
      <c r="AN73" s="174">
        <f t="shared" si="21"/>
        <v>0</v>
      </c>
      <c r="AO73" s="174">
        <f t="shared" si="22"/>
        <v>0</v>
      </c>
      <c r="AP73" s="174">
        <f t="shared" si="11"/>
        <v>0</v>
      </c>
      <c r="AQ73" s="174">
        <f t="shared" si="12"/>
        <v>0</v>
      </c>
      <c r="AR73" s="174">
        <f t="shared" si="13"/>
        <v>0</v>
      </c>
      <c r="AS73" s="174">
        <f t="shared" si="14"/>
        <v>0</v>
      </c>
      <c r="AT73" s="174">
        <f t="shared" si="15"/>
        <v>0</v>
      </c>
      <c r="AU73" s="174">
        <v>0</v>
      </c>
      <c r="AV73" s="174">
        <v>0</v>
      </c>
      <c r="AW73" s="174">
        <v>0</v>
      </c>
      <c r="AX73" s="174">
        <v>0</v>
      </c>
      <c r="AY73" s="174">
        <v>0</v>
      </c>
      <c r="AZ73" s="174">
        <v>0</v>
      </c>
      <c r="BA73" s="174">
        <v>0</v>
      </c>
      <c r="BB73" s="174">
        <v>0</v>
      </c>
      <c r="BC73" s="174">
        <v>0</v>
      </c>
      <c r="BD73" s="174">
        <v>0</v>
      </c>
      <c r="BE73" s="174">
        <v>0</v>
      </c>
      <c r="BF73" s="174">
        <v>0</v>
      </c>
      <c r="BG73" s="174">
        <v>0</v>
      </c>
      <c r="BH73" s="174">
        <v>0</v>
      </c>
      <c r="BI73" s="174">
        <v>0</v>
      </c>
      <c r="BJ73" s="522">
        <v>0</v>
      </c>
      <c r="BK73" s="522">
        <v>0</v>
      </c>
      <c r="BL73" s="522">
        <v>0</v>
      </c>
      <c r="BM73" s="522">
        <v>0</v>
      </c>
      <c r="BN73" s="522">
        <v>0</v>
      </c>
      <c r="BO73" s="522">
        <v>0</v>
      </c>
      <c r="BP73" s="174">
        <v>0</v>
      </c>
      <c r="BQ73" s="174">
        <v>0</v>
      </c>
      <c r="BR73" s="174">
        <v>0</v>
      </c>
      <c r="BS73" s="174">
        <v>0</v>
      </c>
      <c r="BT73" s="174">
        <v>0</v>
      </c>
      <c r="BU73" s="174">
        <v>0</v>
      </c>
      <c r="BV73" s="174">
        <v>0</v>
      </c>
      <c r="BW73" s="174">
        <f t="shared" si="17"/>
        <v>0</v>
      </c>
      <c r="BX73" s="219">
        <v>0</v>
      </c>
      <c r="BY73" s="173">
        <f t="shared" si="18"/>
        <v>0</v>
      </c>
      <c r="BZ73" s="67"/>
      <c r="CA73" s="136" t="e">
        <f>'10'!#REF!</f>
        <v>#REF!</v>
      </c>
      <c r="CB73" s="60"/>
    </row>
    <row r="74" spans="1:80" s="105" customFormat="1" ht="78.75">
      <c r="A74" s="146" t="s">
        <v>908</v>
      </c>
      <c r="B74" s="144" t="s">
        <v>909</v>
      </c>
      <c r="C74" s="125" t="s">
        <v>876</v>
      </c>
      <c r="D74" s="524">
        <f t="shared" si="4"/>
        <v>0</v>
      </c>
      <c r="E74" s="172">
        <f t="shared" si="30"/>
        <v>0</v>
      </c>
      <c r="F74" s="172">
        <f t="shared" si="31"/>
        <v>0</v>
      </c>
      <c r="G74" s="172">
        <f t="shared" si="32"/>
        <v>0</v>
      </c>
      <c r="H74" s="172">
        <f t="shared" si="33"/>
        <v>0</v>
      </c>
      <c r="I74" s="172">
        <f t="shared" si="106"/>
        <v>0</v>
      </c>
      <c r="J74" s="172">
        <f t="shared" si="34"/>
        <v>0</v>
      </c>
      <c r="K74" s="172">
        <f t="shared" si="35"/>
        <v>0</v>
      </c>
      <c r="L74" s="177">
        <v>0</v>
      </c>
      <c r="M74" s="175">
        <v>0</v>
      </c>
      <c r="N74" s="177">
        <v>0</v>
      </c>
      <c r="O74" s="175">
        <v>0</v>
      </c>
      <c r="P74" s="177">
        <v>0</v>
      </c>
      <c r="Q74" s="175">
        <v>0</v>
      </c>
      <c r="R74" s="177">
        <v>0</v>
      </c>
      <c r="S74" s="175">
        <v>0</v>
      </c>
      <c r="T74" s="177">
        <v>0</v>
      </c>
      <c r="U74" s="175">
        <v>0</v>
      </c>
      <c r="V74" s="177">
        <v>0</v>
      </c>
      <c r="W74" s="175">
        <v>0</v>
      </c>
      <c r="X74" s="177">
        <v>0</v>
      </c>
      <c r="Y74" s="175">
        <v>0</v>
      </c>
      <c r="Z74" s="175">
        <v>0</v>
      </c>
      <c r="AA74" s="177">
        <v>0</v>
      </c>
      <c r="AB74" s="175">
        <v>0</v>
      </c>
      <c r="AC74" s="177">
        <v>0</v>
      </c>
      <c r="AD74" s="175">
        <v>0</v>
      </c>
      <c r="AE74" s="177">
        <v>0</v>
      </c>
      <c r="AF74" s="175">
        <v>0</v>
      </c>
      <c r="AG74" s="175">
        <v>0</v>
      </c>
      <c r="AH74" s="177">
        <v>0</v>
      </c>
      <c r="AI74" s="175">
        <v>0</v>
      </c>
      <c r="AJ74" s="177">
        <v>0</v>
      </c>
      <c r="AK74" s="175">
        <v>0</v>
      </c>
      <c r="AL74" s="177">
        <v>0</v>
      </c>
      <c r="AM74" s="175">
        <v>0</v>
      </c>
      <c r="AN74" s="174">
        <f t="shared" si="21"/>
        <v>0</v>
      </c>
      <c r="AO74" s="174">
        <f t="shared" si="22"/>
        <v>0</v>
      </c>
      <c r="AP74" s="174">
        <f t="shared" si="11"/>
        <v>0</v>
      </c>
      <c r="AQ74" s="174">
        <f t="shared" si="12"/>
        <v>0</v>
      </c>
      <c r="AR74" s="174">
        <f t="shared" si="13"/>
        <v>0</v>
      </c>
      <c r="AS74" s="174">
        <f t="shared" si="14"/>
        <v>0</v>
      </c>
      <c r="AT74" s="174">
        <f t="shared" si="15"/>
        <v>0</v>
      </c>
      <c r="AU74" s="174">
        <v>0</v>
      </c>
      <c r="AV74" s="174">
        <v>0</v>
      </c>
      <c r="AW74" s="174">
        <v>0</v>
      </c>
      <c r="AX74" s="174">
        <v>0</v>
      </c>
      <c r="AY74" s="174">
        <v>0</v>
      </c>
      <c r="AZ74" s="174">
        <v>0</v>
      </c>
      <c r="BA74" s="174">
        <v>0</v>
      </c>
      <c r="BB74" s="174">
        <v>0</v>
      </c>
      <c r="BC74" s="174">
        <v>0</v>
      </c>
      <c r="BD74" s="174">
        <v>0</v>
      </c>
      <c r="BE74" s="174">
        <v>0</v>
      </c>
      <c r="BF74" s="174">
        <v>0</v>
      </c>
      <c r="BG74" s="174">
        <v>0</v>
      </c>
      <c r="BH74" s="174">
        <v>0</v>
      </c>
      <c r="BI74" s="174">
        <v>0</v>
      </c>
      <c r="BJ74" s="522">
        <v>0</v>
      </c>
      <c r="BK74" s="522">
        <v>0</v>
      </c>
      <c r="BL74" s="522">
        <v>0</v>
      </c>
      <c r="BM74" s="522">
        <v>0</v>
      </c>
      <c r="BN74" s="522">
        <v>0</v>
      </c>
      <c r="BO74" s="522">
        <v>0</v>
      </c>
      <c r="BP74" s="174">
        <v>0</v>
      </c>
      <c r="BQ74" s="174">
        <v>0</v>
      </c>
      <c r="BR74" s="174">
        <v>0</v>
      </c>
      <c r="BS74" s="174">
        <v>0</v>
      </c>
      <c r="BT74" s="174">
        <v>0</v>
      </c>
      <c r="BU74" s="174">
        <v>0</v>
      </c>
      <c r="BV74" s="174">
        <v>0</v>
      </c>
      <c r="BW74" s="174">
        <f t="shared" si="17"/>
        <v>0</v>
      </c>
      <c r="BX74" s="219">
        <v>0</v>
      </c>
      <c r="BY74" s="173">
        <f t="shared" si="18"/>
        <v>0</v>
      </c>
      <c r="BZ74" s="67"/>
      <c r="CA74" s="136" t="e">
        <f>'10'!#REF!</f>
        <v>#REF!</v>
      </c>
      <c r="CB74" s="60"/>
    </row>
    <row r="75" spans="1:80" s="105" customFormat="1" ht="47.25">
      <c r="A75" s="118" t="s">
        <v>910</v>
      </c>
      <c r="B75" s="144" t="s">
        <v>911</v>
      </c>
      <c r="C75" s="125" t="s">
        <v>876</v>
      </c>
      <c r="D75" s="524">
        <f t="shared" si="4"/>
        <v>6.4691525423728802</v>
      </c>
      <c r="E75" s="172">
        <f t="shared" si="30"/>
        <v>0</v>
      </c>
      <c r="F75" s="172">
        <f t="shared" si="31"/>
        <v>6.4691525423728802</v>
      </c>
      <c r="G75" s="172">
        <f t="shared" si="32"/>
        <v>0</v>
      </c>
      <c r="H75" s="172">
        <f t="shared" si="33"/>
        <v>0</v>
      </c>
      <c r="I75" s="172">
        <f t="shared" si="106"/>
        <v>2.7749999999999999</v>
      </c>
      <c r="J75" s="172">
        <f t="shared" si="34"/>
        <v>0</v>
      </c>
      <c r="K75" s="172">
        <f t="shared" si="35"/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5">
        <v>0</v>
      </c>
      <c r="W75" s="175">
        <v>0</v>
      </c>
      <c r="X75" s="175">
        <v>0</v>
      </c>
      <c r="Y75" s="175">
        <v>0</v>
      </c>
      <c r="Z75" s="175">
        <v>0</v>
      </c>
      <c r="AA75" s="175">
        <v>0</v>
      </c>
      <c r="AB75" s="175">
        <v>0</v>
      </c>
      <c r="AC75" s="175">
        <v>0</v>
      </c>
      <c r="AD75" s="175">
        <v>0</v>
      </c>
      <c r="AE75" s="175">
        <v>0</v>
      </c>
      <c r="AF75" s="175">
        <v>0</v>
      </c>
      <c r="AG75" s="175">
        <v>0</v>
      </c>
      <c r="AH75" s="175">
        <v>6.4691525423728802</v>
      </c>
      <c r="AI75" s="175">
        <v>0</v>
      </c>
      <c r="AJ75" s="175">
        <v>0</v>
      </c>
      <c r="AK75" s="175">
        <v>2.7749999999999999</v>
      </c>
      <c r="AL75" s="175">
        <v>0</v>
      </c>
      <c r="AM75" s="175">
        <v>0</v>
      </c>
      <c r="AN75" s="174">
        <f t="shared" si="21"/>
        <v>0</v>
      </c>
      <c r="AO75" s="174">
        <f t="shared" si="22"/>
        <v>6.1723000013559313</v>
      </c>
      <c r="AP75" s="174">
        <f t="shared" si="11"/>
        <v>0</v>
      </c>
      <c r="AQ75" s="174">
        <f t="shared" si="12"/>
        <v>0</v>
      </c>
      <c r="AR75" s="174">
        <f t="shared" si="13"/>
        <v>2.7749999999999999</v>
      </c>
      <c r="AS75" s="174">
        <f t="shared" si="14"/>
        <v>0</v>
      </c>
      <c r="AT75" s="174">
        <f t="shared" si="15"/>
        <v>0</v>
      </c>
      <c r="AU75" s="174">
        <f t="shared" ref="AU75:BV75" si="110">AU76+AU81+AU89+AU98</f>
        <v>0</v>
      </c>
      <c r="AV75" s="174">
        <f t="shared" si="110"/>
        <v>0.39</v>
      </c>
      <c r="AW75" s="174">
        <f t="shared" si="110"/>
        <v>0</v>
      </c>
      <c r="AX75" s="174">
        <f t="shared" si="110"/>
        <v>0</v>
      </c>
      <c r="AY75" s="174">
        <f t="shared" si="110"/>
        <v>0</v>
      </c>
      <c r="AZ75" s="174">
        <f t="shared" si="110"/>
        <v>0</v>
      </c>
      <c r="BA75" s="174">
        <f t="shared" si="110"/>
        <v>0</v>
      </c>
      <c r="BB75" s="174">
        <f t="shared" si="110"/>
        <v>0</v>
      </c>
      <c r="BC75" s="174">
        <f t="shared" si="110"/>
        <v>0</v>
      </c>
      <c r="BD75" s="174">
        <f t="shared" si="110"/>
        <v>0</v>
      </c>
      <c r="BE75" s="174">
        <f t="shared" si="110"/>
        <v>0</v>
      </c>
      <c r="BF75" s="174">
        <f t="shared" si="110"/>
        <v>0</v>
      </c>
      <c r="BG75" s="174">
        <f t="shared" si="110"/>
        <v>0</v>
      </c>
      <c r="BH75" s="174">
        <f t="shared" si="110"/>
        <v>0</v>
      </c>
      <c r="BI75" s="174">
        <f t="shared" si="110"/>
        <v>0</v>
      </c>
      <c r="BJ75" s="522">
        <f t="shared" si="110"/>
        <v>0</v>
      </c>
      <c r="BK75" s="522">
        <f t="shared" si="110"/>
        <v>0</v>
      </c>
      <c r="BL75" s="522">
        <f t="shared" si="110"/>
        <v>0</v>
      </c>
      <c r="BM75" s="522">
        <f t="shared" si="110"/>
        <v>0</v>
      </c>
      <c r="BN75" s="522">
        <f t="shared" si="110"/>
        <v>0</v>
      </c>
      <c r="BO75" s="522">
        <f t="shared" si="110"/>
        <v>0</v>
      </c>
      <c r="BP75" s="174">
        <f t="shared" si="110"/>
        <v>0</v>
      </c>
      <c r="BQ75" s="174">
        <f t="shared" si="110"/>
        <v>5.7823000013559316</v>
      </c>
      <c r="BR75" s="174">
        <f t="shared" si="110"/>
        <v>0</v>
      </c>
      <c r="BS75" s="174">
        <f t="shared" si="110"/>
        <v>0</v>
      </c>
      <c r="BT75" s="174">
        <f t="shared" si="110"/>
        <v>2.7749999999999999</v>
      </c>
      <c r="BU75" s="174">
        <f t="shared" si="110"/>
        <v>0</v>
      </c>
      <c r="BV75" s="174">
        <f t="shared" si="110"/>
        <v>0</v>
      </c>
      <c r="BW75" s="174">
        <f t="shared" si="17"/>
        <v>0</v>
      </c>
      <c r="BX75" s="219">
        <v>0</v>
      </c>
      <c r="BY75" s="173">
        <f t="shared" si="18"/>
        <v>0.29685254101694891</v>
      </c>
      <c r="BZ75" s="67"/>
      <c r="CA75" s="136">
        <f>'10'!T54</f>
        <v>0</v>
      </c>
      <c r="CB75" s="60"/>
    </row>
    <row r="76" spans="1:80" s="105" customFormat="1" ht="78.75">
      <c r="A76" s="118" t="s">
        <v>840</v>
      </c>
      <c r="B76" s="144" t="s">
        <v>912</v>
      </c>
      <c r="C76" s="125" t="s">
        <v>876</v>
      </c>
      <c r="D76" s="524">
        <f t="shared" si="4"/>
        <v>0</v>
      </c>
      <c r="E76" s="172">
        <f t="shared" si="30"/>
        <v>0</v>
      </c>
      <c r="F76" s="172">
        <f t="shared" si="31"/>
        <v>0</v>
      </c>
      <c r="G76" s="172">
        <f t="shared" si="32"/>
        <v>0</v>
      </c>
      <c r="H76" s="172">
        <f t="shared" si="33"/>
        <v>0</v>
      </c>
      <c r="I76" s="172">
        <f t="shared" si="106"/>
        <v>0</v>
      </c>
      <c r="J76" s="172">
        <f t="shared" si="34"/>
        <v>0</v>
      </c>
      <c r="K76" s="172">
        <f t="shared" si="35"/>
        <v>0</v>
      </c>
      <c r="L76" s="175">
        <v>0</v>
      </c>
      <c r="M76" s="175">
        <v>0</v>
      </c>
      <c r="N76" s="175">
        <v>0</v>
      </c>
      <c r="O76" s="175">
        <v>0</v>
      </c>
      <c r="P76" s="175">
        <v>0</v>
      </c>
      <c r="Q76" s="175">
        <v>0</v>
      </c>
      <c r="R76" s="175">
        <v>0</v>
      </c>
      <c r="S76" s="175">
        <v>0</v>
      </c>
      <c r="T76" s="175">
        <v>0</v>
      </c>
      <c r="U76" s="175">
        <v>0</v>
      </c>
      <c r="V76" s="175">
        <v>0</v>
      </c>
      <c r="W76" s="175">
        <v>0</v>
      </c>
      <c r="X76" s="175">
        <v>0</v>
      </c>
      <c r="Y76" s="175">
        <v>0</v>
      </c>
      <c r="Z76" s="175">
        <v>0</v>
      </c>
      <c r="AA76" s="175">
        <v>0</v>
      </c>
      <c r="AB76" s="175">
        <v>0</v>
      </c>
      <c r="AC76" s="175">
        <v>0</v>
      </c>
      <c r="AD76" s="175">
        <v>0</v>
      </c>
      <c r="AE76" s="175">
        <v>0</v>
      </c>
      <c r="AF76" s="175">
        <v>0</v>
      </c>
      <c r="AG76" s="175">
        <v>0</v>
      </c>
      <c r="AH76" s="175">
        <v>0</v>
      </c>
      <c r="AI76" s="175">
        <v>0</v>
      </c>
      <c r="AJ76" s="175">
        <v>0</v>
      </c>
      <c r="AK76" s="175">
        <v>0</v>
      </c>
      <c r="AL76" s="175">
        <v>0</v>
      </c>
      <c r="AM76" s="175">
        <v>0</v>
      </c>
      <c r="AN76" s="174">
        <f t="shared" si="21"/>
        <v>0</v>
      </c>
      <c r="AO76" s="174">
        <f t="shared" si="22"/>
        <v>0</v>
      </c>
      <c r="AP76" s="174">
        <f t="shared" si="11"/>
        <v>0</v>
      </c>
      <c r="AQ76" s="174">
        <f t="shared" si="12"/>
        <v>0</v>
      </c>
      <c r="AR76" s="174">
        <f t="shared" si="13"/>
        <v>0</v>
      </c>
      <c r="AS76" s="174">
        <f t="shared" si="14"/>
        <v>0</v>
      </c>
      <c r="AT76" s="174">
        <f t="shared" si="15"/>
        <v>0</v>
      </c>
      <c r="AU76" s="174">
        <f t="shared" ref="AU76:BV76" si="111">AU77+AU80</f>
        <v>0</v>
      </c>
      <c r="AV76" s="174">
        <f t="shared" si="111"/>
        <v>0</v>
      </c>
      <c r="AW76" s="174">
        <f t="shared" si="111"/>
        <v>0</v>
      </c>
      <c r="AX76" s="174">
        <f t="shared" si="111"/>
        <v>0</v>
      </c>
      <c r="AY76" s="174">
        <f t="shared" si="111"/>
        <v>0</v>
      </c>
      <c r="AZ76" s="174">
        <f t="shared" si="111"/>
        <v>0</v>
      </c>
      <c r="BA76" s="174">
        <f t="shared" si="111"/>
        <v>0</v>
      </c>
      <c r="BB76" s="174">
        <f t="shared" si="111"/>
        <v>0</v>
      </c>
      <c r="BC76" s="174">
        <f t="shared" si="111"/>
        <v>0</v>
      </c>
      <c r="BD76" s="174">
        <f t="shared" si="111"/>
        <v>0</v>
      </c>
      <c r="BE76" s="174">
        <f t="shared" si="111"/>
        <v>0</v>
      </c>
      <c r="BF76" s="174">
        <f t="shared" si="111"/>
        <v>0</v>
      </c>
      <c r="BG76" s="174">
        <f t="shared" si="111"/>
        <v>0</v>
      </c>
      <c r="BH76" s="174">
        <f t="shared" si="111"/>
        <v>0</v>
      </c>
      <c r="BI76" s="174">
        <f t="shared" si="111"/>
        <v>0</v>
      </c>
      <c r="BJ76" s="522">
        <f t="shared" si="111"/>
        <v>0</v>
      </c>
      <c r="BK76" s="522">
        <f t="shared" si="111"/>
        <v>0</v>
      </c>
      <c r="BL76" s="522">
        <f t="shared" si="111"/>
        <v>0</v>
      </c>
      <c r="BM76" s="522">
        <f t="shared" si="111"/>
        <v>0</v>
      </c>
      <c r="BN76" s="522">
        <f t="shared" si="111"/>
        <v>0</v>
      </c>
      <c r="BO76" s="522">
        <f t="shared" si="111"/>
        <v>0</v>
      </c>
      <c r="BP76" s="174">
        <f t="shared" si="111"/>
        <v>0</v>
      </c>
      <c r="BQ76" s="174">
        <f t="shared" si="111"/>
        <v>0</v>
      </c>
      <c r="BR76" s="174">
        <f t="shared" si="111"/>
        <v>0</v>
      </c>
      <c r="BS76" s="174">
        <f t="shared" si="111"/>
        <v>0</v>
      </c>
      <c r="BT76" s="174">
        <f t="shared" si="111"/>
        <v>0</v>
      </c>
      <c r="BU76" s="174">
        <f t="shared" si="111"/>
        <v>0</v>
      </c>
      <c r="BV76" s="174">
        <f t="shared" si="111"/>
        <v>0</v>
      </c>
      <c r="BW76" s="174">
        <f t="shared" si="17"/>
        <v>0</v>
      </c>
      <c r="BX76" s="219">
        <v>0</v>
      </c>
      <c r="BY76" s="173">
        <f t="shared" si="18"/>
        <v>0</v>
      </c>
      <c r="BZ76" s="67"/>
      <c r="CA76" s="136">
        <f>'10'!T55</f>
        <v>0</v>
      </c>
      <c r="CB76" s="60"/>
    </row>
    <row r="77" spans="1:80" s="105" customFormat="1" ht="31.5">
      <c r="A77" s="118" t="s">
        <v>421</v>
      </c>
      <c r="B77" s="144" t="s">
        <v>913</v>
      </c>
      <c r="C77" s="138" t="s">
        <v>876</v>
      </c>
      <c r="D77" s="524">
        <f t="shared" si="4"/>
        <v>0</v>
      </c>
      <c r="E77" s="172">
        <f t="shared" si="30"/>
        <v>0</v>
      </c>
      <c r="F77" s="172">
        <f t="shared" si="31"/>
        <v>0</v>
      </c>
      <c r="G77" s="172">
        <f t="shared" si="32"/>
        <v>0</v>
      </c>
      <c r="H77" s="172">
        <f t="shared" si="33"/>
        <v>0</v>
      </c>
      <c r="I77" s="172">
        <f t="shared" si="106"/>
        <v>0</v>
      </c>
      <c r="J77" s="172">
        <f t="shared" si="34"/>
        <v>0</v>
      </c>
      <c r="K77" s="172">
        <f t="shared" si="35"/>
        <v>0</v>
      </c>
      <c r="L77" s="172">
        <v>0</v>
      </c>
      <c r="M77" s="172">
        <v>0</v>
      </c>
      <c r="N77" s="172">
        <v>0</v>
      </c>
      <c r="O77" s="172">
        <v>0</v>
      </c>
      <c r="P77" s="172">
        <v>0</v>
      </c>
      <c r="Q77" s="172">
        <v>0</v>
      </c>
      <c r="R77" s="172">
        <v>0</v>
      </c>
      <c r="S77" s="172">
        <v>0</v>
      </c>
      <c r="T77" s="172">
        <v>0</v>
      </c>
      <c r="U77" s="172">
        <v>0</v>
      </c>
      <c r="V77" s="172">
        <v>0</v>
      </c>
      <c r="W77" s="172">
        <v>0</v>
      </c>
      <c r="X77" s="172">
        <v>0</v>
      </c>
      <c r="Y77" s="172">
        <v>0</v>
      </c>
      <c r="Z77" s="172">
        <v>0</v>
      </c>
      <c r="AA77" s="172">
        <v>0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  <c r="AG77" s="172">
        <v>0</v>
      </c>
      <c r="AH77" s="172">
        <v>0</v>
      </c>
      <c r="AI77" s="172">
        <v>0</v>
      </c>
      <c r="AJ77" s="172">
        <v>0</v>
      </c>
      <c r="AK77" s="172">
        <v>0</v>
      </c>
      <c r="AL77" s="172">
        <v>0</v>
      </c>
      <c r="AM77" s="172">
        <v>0</v>
      </c>
      <c r="AN77" s="174">
        <f t="shared" si="21"/>
        <v>0</v>
      </c>
      <c r="AO77" s="174">
        <f t="shared" si="22"/>
        <v>0</v>
      </c>
      <c r="AP77" s="174">
        <f t="shared" si="11"/>
        <v>0</v>
      </c>
      <c r="AQ77" s="174">
        <f t="shared" si="12"/>
        <v>0</v>
      </c>
      <c r="AR77" s="174">
        <f t="shared" si="13"/>
        <v>0</v>
      </c>
      <c r="AS77" s="174">
        <f t="shared" si="14"/>
        <v>0</v>
      </c>
      <c r="AT77" s="174">
        <f t="shared" si="15"/>
        <v>0</v>
      </c>
      <c r="AU77" s="174">
        <v>0</v>
      </c>
      <c r="AV77" s="174">
        <v>0</v>
      </c>
      <c r="AW77" s="174">
        <v>0</v>
      </c>
      <c r="AX77" s="174">
        <v>0</v>
      </c>
      <c r="AY77" s="174">
        <v>0</v>
      </c>
      <c r="AZ77" s="174">
        <v>0</v>
      </c>
      <c r="BA77" s="174">
        <v>0</v>
      </c>
      <c r="BB77" s="174">
        <v>0</v>
      </c>
      <c r="BC77" s="174">
        <v>0</v>
      </c>
      <c r="BD77" s="174">
        <v>0</v>
      </c>
      <c r="BE77" s="174">
        <v>0</v>
      </c>
      <c r="BF77" s="174">
        <v>0</v>
      </c>
      <c r="BG77" s="174">
        <v>0</v>
      </c>
      <c r="BH77" s="174">
        <v>0</v>
      </c>
      <c r="BI77" s="174">
        <v>0</v>
      </c>
      <c r="BJ77" s="522">
        <v>0</v>
      </c>
      <c r="BK77" s="522">
        <v>0</v>
      </c>
      <c r="BL77" s="522">
        <v>0</v>
      </c>
      <c r="BM77" s="522">
        <v>0</v>
      </c>
      <c r="BN77" s="522">
        <v>0</v>
      </c>
      <c r="BO77" s="522">
        <v>0</v>
      </c>
      <c r="BP77" s="174">
        <v>0</v>
      </c>
      <c r="BQ77" s="174">
        <v>0</v>
      </c>
      <c r="BR77" s="174">
        <v>0</v>
      </c>
      <c r="BS77" s="174">
        <v>0</v>
      </c>
      <c r="BT77" s="174">
        <v>0</v>
      </c>
      <c r="BU77" s="174">
        <v>0</v>
      </c>
      <c r="BV77" s="174">
        <v>0</v>
      </c>
      <c r="BW77" s="174">
        <f t="shared" si="17"/>
        <v>0</v>
      </c>
      <c r="BX77" s="219">
        <v>0</v>
      </c>
      <c r="BY77" s="173">
        <f t="shared" si="18"/>
        <v>0</v>
      </c>
      <c r="BZ77" s="67"/>
      <c r="CA77" s="136">
        <f>'10'!T56</f>
        <v>0</v>
      </c>
      <c r="CB77" s="60"/>
    </row>
    <row r="78" spans="1:80" s="152" customFormat="1">
      <c r="A78" s="137" t="s">
        <v>423</v>
      </c>
      <c r="B78" s="129" t="s">
        <v>1070</v>
      </c>
      <c r="C78" s="133" t="s">
        <v>1086</v>
      </c>
      <c r="D78" s="524">
        <f t="shared" si="4"/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2">
        <v>0</v>
      </c>
      <c r="M78" s="172">
        <v>0</v>
      </c>
      <c r="N78" s="172">
        <v>0</v>
      </c>
      <c r="O78" s="172">
        <v>0</v>
      </c>
      <c r="P78" s="172">
        <v>0</v>
      </c>
      <c r="Q78" s="172">
        <v>0</v>
      </c>
      <c r="R78" s="172">
        <v>0</v>
      </c>
      <c r="S78" s="172">
        <v>0</v>
      </c>
      <c r="T78" s="172">
        <v>0</v>
      </c>
      <c r="U78" s="172">
        <v>0</v>
      </c>
      <c r="V78" s="172">
        <v>0</v>
      </c>
      <c r="W78" s="172">
        <v>0</v>
      </c>
      <c r="X78" s="172">
        <v>0</v>
      </c>
      <c r="Y78" s="172">
        <v>0</v>
      </c>
      <c r="Z78" s="172">
        <v>0</v>
      </c>
      <c r="AA78" s="172">
        <v>0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2">
        <v>0</v>
      </c>
      <c r="AI78" s="172">
        <v>0</v>
      </c>
      <c r="AJ78" s="172">
        <v>0</v>
      </c>
      <c r="AK78" s="172">
        <v>0</v>
      </c>
      <c r="AL78" s="172">
        <v>0</v>
      </c>
      <c r="AM78" s="172">
        <v>0</v>
      </c>
      <c r="AN78" s="174">
        <v>0</v>
      </c>
      <c r="AO78" s="174">
        <v>0</v>
      </c>
      <c r="AP78" s="174">
        <v>0</v>
      </c>
      <c r="AQ78" s="174">
        <v>0</v>
      </c>
      <c r="AR78" s="174">
        <v>0</v>
      </c>
      <c r="AS78" s="174">
        <v>0</v>
      </c>
      <c r="AT78" s="174">
        <v>0</v>
      </c>
      <c r="AU78" s="174">
        <v>0</v>
      </c>
      <c r="AV78" s="174">
        <v>0</v>
      </c>
      <c r="AW78" s="174">
        <v>0</v>
      </c>
      <c r="AX78" s="174">
        <v>0</v>
      </c>
      <c r="AY78" s="174">
        <v>0</v>
      </c>
      <c r="AZ78" s="174">
        <v>0</v>
      </c>
      <c r="BA78" s="174">
        <v>0</v>
      </c>
      <c r="BB78" s="174">
        <v>0</v>
      </c>
      <c r="BC78" s="174">
        <v>0</v>
      </c>
      <c r="BD78" s="174">
        <v>0</v>
      </c>
      <c r="BE78" s="174">
        <v>0</v>
      </c>
      <c r="BF78" s="174">
        <v>0</v>
      </c>
      <c r="BG78" s="174">
        <v>0</v>
      </c>
      <c r="BH78" s="174">
        <v>0</v>
      </c>
      <c r="BI78" s="174">
        <v>0</v>
      </c>
      <c r="BJ78" s="522">
        <v>0</v>
      </c>
      <c r="BK78" s="522">
        <v>0</v>
      </c>
      <c r="BL78" s="522">
        <v>0</v>
      </c>
      <c r="BM78" s="522">
        <v>0</v>
      </c>
      <c r="BN78" s="522">
        <v>0</v>
      </c>
      <c r="BO78" s="522">
        <v>0</v>
      </c>
      <c r="BP78" s="174">
        <v>0</v>
      </c>
      <c r="BQ78" s="174">
        <v>0</v>
      </c>
      <c r="BR78" s="174">
        <v>0</v>
      </c>
      <c r="BS78" s="174">
        <v>0</v>
      </c>
      <c r="BT78" s="174">
        <v>0</v>
      </c>
      <c r="BU78" s="174">
        <v>0</v>
      </c>
      <c r="BV78" s="174">
        <v>0</v>
      </c>
      <c r="BW78" s="174">
        <v>0</v>
      </c>
      <c r="BX78" s="219">
        <v>0</v>
      </c>
      <c r="BY78" s="174">
        <f t="shared" si="18"/>
        <v>0</v>
      </c>
      <c r="BZ78" s="112"/>
      <c r="CA78" s="163"/>
      <c r="CB78" s="60"/>
    </row>
    <row r="79" spans="1:80" s="152" customFormat="1">
      <c r="A79" s="137" t="s">
        <v>424</v>
      </c>
      <c r="B79" s="129" t="s">
        <v>1071</v>
      </c>
      <c r="C79" s="133" t="s">
        <v>1090</v>
      </c>
      <c r="D79" s="524">
        <f t="shared" si="4"/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72">
        <v>0</v>
      </c>
      <c r="P79" s="172">
        <v>0</v>
      </c>
      <c r="Q79" s="172">
        <v>0</v>
      </c>
      <c r="R79" s="172">
        <v>0</v>
      </c>
      <c r="S79" s="172">
        <v>0</v>
      </c>
      <c r="T79" s="172">
        <v>0</v>
      </c>
      <c r="U79" s="172">
        <v>0</v>
      </c>
      <c r="V79" s="172">
        <v>0</v>
      </c>
      <c r="W79" s="172">
        <v>0</v>
      </c>
      <c r="X79" s="172">
        <v>0</v>
      </c>
      <c r="Y79" s="172">
        <v>0</v>
      </c>
      <c r="Z79" s="172">
        <v>0</v>
      </c>
      <c r="AA79" s="172">
        <v>0</v>
      </c>
      <c r="AB79" s="172">
        <v>0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2">
        <v>0</v>
      </c>
      <c r="AI79" s="172">
        <v>0</v>
      </c>
      <c r="AJ79" s="172">
        <v>0</v>
      </c>
      <c r="AK79" s="172">
        <v>0</v>
      </c>
      <c r="AL79" s="172">
        <v>0</v>
      </c>
      <c r="AM79" s="172">
        <v>0</v>
      </c>
      <c r="AN79" s="174">
        <v>0</v>
      </c>
      <c r="AO79" s="174">
        <v>0</v>
      </c>
      <c r="AP79" s="174">
        <v>0</v>
      </c>
      <c r="AQ79" s="174">
        <v>0</v>
      </c>
      <c r="AR79" s="174">
        <v>0</v>
      </c>
      <c r="AS79" s="174">
        <v>0</v>
      </c>
      <c r="AT79" s="174">
        <v>0</v>
      </c>
      <c r="AU79" s="174">
        <v>0</v>
      </c>
      <c r="AV79" s="174">
        <v>0</v>
      </c>
      <c r="AW79" s="174">
        <v>0</v>
      </c>
      <c r="AX79" s="174">
        <v>0</v>
      </c>
      <c r="AY79" s="174">
        <v>0</v>
      </c>
      <c r="AZ79" s="174">
        <v>0</v>
      </c>
      <c r="BA79" s="174">
        <v>0</v>
      </c>
      <c r="BB79" s="174">
        <v>0</v>
      </c>
      <c r="BC79" s="174">
        <v>0</v>
      </c>
      <c r="BD79" s="174">
        <v>0</v>
      </c>
      <c r="BE79" s="174">
        <v>0</v>
      </c>
      <c r="BF79" s="174">
        <v>0</v>
      </c>
      <c r="BG79" s="174">
        <v>0</v>
      </c>
      <c r="BH79" s="174">
        <v>0</v>
      </c>
      <c r="BI79" s="174">
        <v>0</v>
      </c>
      <c r="BJ79" s="522">
        <v>0</v>
      </c>
      <c r="BK79" s="522">
        <v>0</v>
      </c>
      <c r="BL79" s="522">
        <v>0</v>
      </c>
      <c r="BM79" s="522">
        <v>0</v>
      </c>
      <c r="BN79" s="522">
        <v>0</v>
      </c>
      <c r="BO79" s="522">
        <v>0</v>
      </c>
      <c r="BP79" s="174">
        <v>0</v>
      </c>
      <c r="BQ79" s="174">
        <v>0</v>
      </c>
      <c r="BR79" s="174">
        <v>0</v>
      </c>
      <c r="BS79" s="174">
        <v>0</v>
      </c>
      <c r="BT79" s="174">
        <v>0</v>
      </c>
      <c r="BU79" s="174">
        <v>0</v>
      </c>
      <c r="BV79" s="174">
        <v>0</v>
      </c>
      <c r="BW79" s="174">
        <v>0</v>
      </c>
      <c r="BX79" s="219">
        <v>0</v>
      </c>
      <c r="BY79" s="174">
        <f t="shared" si="18"/>
        <v>0</v>
      </c>
      <c r="BZ79" s="112"/>
      <c r="CA79" s="163"/>
      <c r="CB79" s="60"/>
    </row>
    <row r="80" spans="1:80" s="105" customFormat="1" ht="63">
      <c r="A80" s="118" t="s">
        <v>426</v>
      </c>
      <c r="B80" s="144" t="s">
        <v>914</v>
      </c>
      <c r="C80" s="125" t="s">
        <v>876</v>
      </c>
      <c r="D80" s="524">
        <f t="shared" si="4"/>
        <v>0</v>
      </c>
      <c r="E80" s="172">
        <f t="shared" si="30"/>
        <v>0</v>
      </c>
      <c r="F80" s="172">
        <f t="shared" si="31"/>
        <v>0</v>
      </c>
      <c r="G80" s="172">
        <f t="shared" si="32"/>
        <v>0</v>
      </c>
      <c r="H80" s="172">
        <f t="shared" si="33"/>
        <v>0</v>
      </c>
      <c r="I80" s="172">
        <f t="shared" si="106"/>
        <v>0</v>
      </c>
      <c r="J80" s="172">
        <f t="shared" si="34"/>
        <v>0</v>
      </c>
      <c r="K80" s="172">
        <f t="shared" si="35"/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77">
        <v>0</v>
      </c>
      <c r="AN80" s="174">
        <f t="shared" si="21"/>
        <v>0</v>
      </c>
      <c r="AO80" s="174">
        <f t="shared" si="22"/>
        <v>0</v>
      </c>
      <c r="AP80" s="174">
        <f t="shared" si="11"/>
        <v>0</v>
      </c>
      <c r="AQ80" s="174">
        <f t="shared" si="12"/>
        <v>0</v>
      </c>
      <c r="AR80" s="174">
        <f t="shared" si="13"/>
        <v>0</v>
      </c>
      <c r="AS80" s="174">
        <f t="shared" si="14"/>
        <v>0</v>
      </c>
      <c r="AT80" s="174">
        <f t="shared" si="15"/>
        <v>0</v>
      </c>
      <c r="AU80" s="174">
        <v>0</v>
      </c>
      <c r="AV80" s="174">
        <v>0</v>
      </c>
      <c r="AW80" s="174">
        <v>0</v>
      </c>
      <c r="AX80" s="174">
        <v>0</v>
      </c>
      <c r="AY80" s="174">
        <v>0</v>
      </c>
      <c r="AZ80" s="174">
        <v>0</v>
      </c>
      <c r="BA80" s="174">
        <v>0</v>
      </c>
      <c r="BB80" s="174">
        <v>0</v>
      </c>
      <c r="BC80" s="174">
        <v>0</v>
      </c>
      <c r="BD80" s="174">
        <v>0</v>
      </c>
      <c r="BE80" s="174">
        <v>0</v>
      </c>
      <c r="BF80" s="174">
        <v>0</v>
      </c>
      <c r="BG80" s="174">
        <v>0</v>
      </c>
      <c r="BH80" s="174">
        <v>0</v>
      </c>
      <c r="BI80" s="174">
        <v>0</v>
      </c>
      <c r="BJ80" s="522">
        <v>0</v>
      </c>
      <c r="BK80" s="522">
        <v>0</v>
      </c>
      <c r="BL80" s="522">
        <v>0</v>
      </c>
      <c r="BM80" s="522">
        <v>0</v>
      </c>
      <c r="BN80" s="522">
        <v>0</v>
      </c>
      <c r="BO80" s="522">
        <v>0</v>
      </c>
      <c r="BP80" s="174">
        <v>0</v>
      </c>
      <c r="BQ80" s="174">
        <v>0</v>
      </c>
      <c r="BR80" s="174">
        <v>0</v>
      </c>
      <c r="BS80" s="174">
        <v>0</v>
      </c>
      <c r="BT80" s="174">
        <v>0</v>
      </c>
      <c r="BU80" s="174">
        <v>0</v>
      </c>
      <c r="BV80" s="174">
        <v>0</v>
      </c>
      <c r="BW80" s="174">
        <f t="shared" si="17"/>
        <v>0</v>
      </c>
      <c r="BX80" s="219">
        <v>0</v>
      </c>
      <c r="BY80" s="173">
        <f t="shared" si="18"/>
        <v>0</v>
      </c>
      <c r="BZ80" s="67"/>
      <c r="CA80" s="136" t="e">
        <f>'10'!#REF!</f>
        <v>#REF!</v>
      </c>
      <c r="CB80" s="60"/>
    </row>
    <row r="81" spans="1:80" s="105" customFormat="1" ht="47.25">
      <c r="A81" s="118" t="s">
        <v>841</v>
      </c>
      <c r="B81" s="144" t="s">
        <v>915</v>
      </c>
      <c r="C81" s="125" t="s">
        <v>876</v>
      </c>
      <c r="D81" s="524">
        <f t="shared" si="4"/>
        <v>6.4691584772896586</v>
      </c>
      <c r="E81" s="172">
        <f t="shared" si="30"/>
        <v>0</v>
      </c>
      <c r="F81" s="172">
        <f>M81+T81+AA81+AH81</f>
        <v>6.4691584772896586</v>
      </c>
      <c r="G81" s="172">
        <f t="shared" si="32"/>
        <v>0</v>
      </c>
      <c r="H81" s="172">
        <f t="shared" si="33"/>
        <v>0</v>
      </c>
      <c r="I81" s="172">
        <f t="shared" si="106"/>
        <v>2.7749999999999999</v>
      </c>
      <c r="J81" s="172">
        <f t="shared" si="34"/>
        <v>0</v>
      </c>
      <c r="K81" s="172">
        <f t="shared" si="35"/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0</v>
      </c>
      <c r="AC81" s="175">
        <v>0</v>
      </c>
      <c r="AD81" s="175">
        <v>0</v>
      </c>
      <c r="AE81" s="175">
        <v>0</v>
      </c>
      <c r="AF81" s="175">
        <v>0</v>
      </c>
      <c r="AG81" s="175">
        <v>0</v>
      </c>
      <c r="AH81" s="175">
        <f>AH82</f>
        <v>6.4691584772896586</v>
      </c>
      <c r="AI81" s="175">
        <v>0</v>
      </c>
      <c r="AJ81" s="175">
        <v>0</v>
      </c>
      <c r="AK81" s="175">
        <v>2.7749999999999999</v>
      </c>
      <c r="AL81" s="175">
        <v>0</v>
      </c>
      <c r="AM81" s="175">
        <v>0</v>
      </c>
      <c r="AN81" s="174">
        <f t="shared" si="21"/>
        <v>0</v>
      </c>
      <c r="AO81" s="174">
        <f t="shared" si="22"/>
        <v>6.1723000013559313</v>
      </c>
      <c r="AP81" s="174">
        <f t="shared" si="11"/>
        <v>0</v>
      </c>
      <c r="AQ81" s="174">
        <f t="shared" si="12"/>
        <v>0</v>
      </c>
      <c r="AR81" s="174">
        <f t="shared" si="13"/>
        <v>2.7749999999999999</v>
      </c>
      <c r="AS81" s="174">
        <f t="shared" si="14"/>
        <v>0</v>
      </c>
      <c r="AT81" s="174">
        <f t="shared" si="15"/>
        <v>0</v>
      </c>
      <c r="AU81" s="174">
        <f t="shared" ref="AU81:BV81" si="112">AU82+AU88</f>
        <v>0</v>
      </c>
      <c r="AV81" s="174">
        <f t="shared" si="112"/>
        <v>0.39</v>
      </c>
      <c r="AW81" s="174">
        <f t="shared" si="112"/>
        <v>0</v>
      </c>
      <c r="AX81" s="174">
        <f t="shared" si="112"/>
        <v>0</v>
      </c>
      <c r="AY81" s="174">
        <f t="shared" si="112"/>
        <v>0</v>
      </c>
      <c r="AZ81" s="174">
        <f t="shared" si="112"/>
        <v>0</v>
      </c>
      <c r="BA81" s="174">
        <f t="shared" si="112"/>
        <v>0</v>
      </c>
      <c r="BB81" s="174">
        <f t="shared" si="112"/>
        <v>0</v>
      </c>
      <c r="BC81" s="174">
        <f t="shared" si="112"/>
        <v>0</v>
      </c>
      <c r="BD81" s="174">
        <f t="shared" si="112"/>
        <v>0</v>
      </c>
      <c r="BE81" s="174">
        <f t="shared" si="112"/>
        <v>0</v>
      </c>
      <c r="BF81" s="174">
        <f t="shared" si="112"/>
        <v>0</v>
      </c>
      <c r="BG81" s="174">
        <f t="shared" si="112"/>
        <v>0</v>
      </c>
      <c r="BH81" s="174">
        <f t="shared" si="112"/>
        <v>0</v>
      </c>
      <c r="BI81" s="174">
        <f t="shared" si="112"/>
        <v>0</v>
      </c>
      <c r="BJ81" s="522">
        <f t="shared" si="112"/>
        <v>0</v>
      </c>
      <c r="BK81" s="522">
        <f t="shared" si="112"/>
        <v>0</v>
      </c>
      <c r="BL81" s="522">
        <f t="shared" si="112"/>
        <v>0</v>
      </c>
      <c r="BM81" s="522">
        <f t="shared" si="112"/>
        <v>0</v>
      </c>
      <c r="BN81" s="522">
        <f t="shared" si="112"/>
        <v>0</v>
      </c>
      <c r="BO81" s="522">
        <f t="shared" si="112"/>
        <v>0</v>
      </c>
      <c r="BP81" s="174">
        <f t="shared" si="112"/>
        <v>0</v>
      </c>
      <c r="BQ81" s="174">
        <f t="shared" si="112"/>
        <v>5.7823000013559316</v>
      </c>
      <c r="BR81" s="174">
        <f t="shared" si="112"/>
        <v>0</v>
      </c>
      <c r="BS81" s="174">
        <f t="shared" si="112"/>
        <v>0</v>
      </c>
      <c r="BT81" s="174">
        <f t="shared" si="112"/>
        <v>2.7749999999999999</v>
      </c>
      <c r="BU81" s="174">
        <f t="shared" si="112"/>
        <v>0</v>
      </c>
      <c r="BV81" s="174">
        <f t="shared" si="112"/>
        <v>0</v>
      </c>
      <c r="BW81" s="174">
        <f t="shared" si="17"/>
        <v>0</v>
      </c>
      <c r="BX81" s="219">
        <v>0</v>
      </c>
      <c r="BY81" s="173">
        <f t="shared" si="18"/>
        <v>0.29685847593372738</v>
      </c>
      <c r="BZ81" s="67"/>
      <c r="CA81" s="136">
        <f>'10'!T59</f>
        <v>0</v>
      </c>
      <c r="CB81" s="60"/>
    </row>
    <row r="82" spans="1:80" s="105" customFormat="1" ht="31.5">
      <c r="A82" s="118" t="s">
        <v>916</v>
      </c>
      <c r="B82" s="144" t="s">
        <v>917</v>
      </c>
      <c r="C82" s="138" t="s">
        <v>876</v>
      </c>
      <c r="D82" s="524">
        <f t="shared" si="4"/>
        <v>6.4691584772896586</v>
      </c>
      <c r="E82" s="172">
        <f t="shared" si="30"/>
        <v>0</v>
      </c>
      <c r="F82" s="172">
        <f>M82+T82+AA82+AH82</f>
        <v>6.4691584772896586</v>
      </c>
      <c r="G82" s="172">
        <f t="shared" si="32"/>
        <v>0</v>
      </c>
      <c r="H82" s="172">
        <f t="shared" si="33"/>
        <v>0</v>
      </c>
      <c r="I82" s="172">
        <f t="shared" si="106"/>
        <v>2.7749999999999999</v>
      </c>
      <c r="J82" s="172">
        <f t="shared" si="34"/>
        <v>0</v>
      </c>
      <c r="K82" s="172">
        <f t="shared" si="35"/>
        <v>0</v>
      </c>
      <c r="L82" s="172">
        <v>0</v>
      </c>
      <c r="M82" s="172">
        <v>0</v>
      </c>
      <c r="N82" s="172">
        <v>0</v>
      </c>
      <c r="O82" s="172">
        <v>0</v>
      </c>
      <c r="P82" s="172">
        <v>0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2">
        <v>0</v>
      </c>
      <c r="X82" s="172">
        <v>0</v>
      </c>
      <c r="Y82" s="172">
        <v>0</v>
      </c>
      <c r="Z82" s="172">
        <v>0</v>
      </c>
      <c r="AA82" s="172">
        <v>0</v>
      </c>
      <c r="AB82" s="172">
        <v>0</v>
      </c>
      <c r="AC82" s="172">
        <v>0</v>
      </c>
      <c r="AD82" s="172">
        <v>0</v>
      </c>
      <c r="AE82" s="172">
        <v>0</v>
      </c>
      <c r="AF82" s="172">
        <v>0</v>
      </c>
      <c r="AG82" s="172">
        <v>0</v>
      </c>
      <c r="AH82" s="172">
        <f>SUM(AH83:AH86)</f>
        <v>6.4691584772896586</v>
      </c>
      <c r="AI82" s="172">
        <v>0</v>
      </c>
      <c r="AJ82" s="172">
        <v>0</v>
      </c>
      <c r="AK82" s="172">
        <v>2.7749999999999999</v>
      </c>
      <c r="AL82" s="172">
        <v>0</v>
      </c>
      <c r="AM82" s="172">
        <v>0</v>
      </c>
      <c r="AN82" s="174">
        <f>AU82+BB82+BI82+BP82</f>
        <v>0</v>
      </c>
      <c r="AO82" s="174">
        <f>AV82+BC82+BJ82+BQ82</f>
        <v>6.1723000013559313</v>
      </c>
      <c r="AP82" s="174">
        <f t="shared" si="11"/>
        <v>0</v>
      </c>
      <c r="AQ82" s="174">
        <f t="shared" si="12"/>
        <v>0</v>
      </c>
      <c r="AR82" s="174">
        <f t="shared" si="13"/>
        <v>2.7749999999999999</v>
      </c>
      <c r="AS82" s="174">
        <f t="shared" si="14"/>
        <v>0</v>
      </c>
      <c r="AT82" s="174">
        <f t="shared" si="15"/>
        <v>0</v>
      </c>
      <c r="AU82" s="174">
        <f>AU84+AU85+AU86</f>
        <v>0</v>
      </c>
      <c r="AV82" s="174">
        <f>AV84+AV85+AV86</f>
        <v>0.39</v>
      </c>
      <c r="AW82" s="174">
        <f t="shared" ref="AW82:AZ82" si="113">AW84+AW85+AW86</f>
        <v>0</v>
      </c>
      <c r="AX82" s="174">
        <f t="shared" si="113"/>
        <v>0</v>
      </c>
      <c r="AY82" s="174">
        <f t="shared" si="113"/>
        <v>0</v>
      </c>
      <c r="AZ82" s="174">
        <f t="shared" si="113"/>
        <v>0</v>
      </c>
      <c r="BA82" s="174">
        <f t="shared" ref="BA82" si="114">BA84+BA85+BA86</f>
        <v>0</v>
      </c>
      <c r="BB82" s="174">
        <f t="shared" ref="BB82" si="115">BB84+BB85+BB86</f>
        <v>0</v>
      </c>
      <c r="BC82" s="174">
        <f>BC84+BC85+BC86</f>
        <v>0</v>
      </c>
      <c r="BD82" s="174">
        <f t="shared" ref="BD82" si="116">BD84+BD85+BD86</f>
        <v>0</v>
      </c>
      <c r="BE82" s="174">
        <f t="shared" ref="BE82" si="117">BE84+BE85+BE86</f>
        <v>0</v>
      </c>
      <c r="BF82" s="174">
        <f t="shared" ref="BF82" si="118">BF84+BF85+BF86</f>
        <v>0</v>
      </c>
      <c r="BG82" s="174">
        <f t="shared" ref="BG82" si="119">BG84+BG85+BG86</f>
        <v>0</v>
      </c>
      <c r="BH82" s="174">
        <f t="shared" ref="BH82" si="120">BH84+BH85+BH86</f>
        <v>0</v>
      </c>
      <c r="BI82" s="174">
        <f t="shared" ref="BI82" si="121">BI84+BI85+BI86</f>
        <v>0</v>
      </c>
      <c r="BJ82" s="522">
        <f>BJ84+BJ85+BJ86</f>
        <v>0</v>
      </c>
      <c r="BK82" s="522">
        <f t="shared" ref="BK82" si="122">BK84+BK85+BK86</f>
        <v>0</v>
      </c>
      <c r="BL82" s="522">
        <f t="shared" ref="BL82" si="123">BL84+BL85+BL86</f>
        <v>0</v>
      </c>
      <c r="BM82" s="522">
        <f t="shared" ref="BM82" si="124">BM84+BM85+BM86</f>
        <v>0</v>
      </c>
      <c r="BN82" s="522">
        <f t="shared" ref="BN82" si="125">BN84+BN85+BN86</f>
        <v>0</v>
      </c>
      <c r="BO82" s="522">
        <f t="shared" ref="BO82" si="126">BO84+BO85+BO86</f>
        <v>0</v>
      </c>
      <c r="BP82" s="174">
        <f t="shared" ref="BP82" si="127">BP84+BP85+BP86</f>
        <v>0</v>
      </c>
      <c r="BQ82" s="174">
        <f>SUM(BQ83:BQ86)</f>
        <v>5.7823000013559316</v>
      </c>
      <c r="BR82" s="174">
        <f t="shared" ref="BR82" si="128">BR84+BR85+BR86</f>
        <v>0</v>
      </c>
      <c r="BS82" s="174">
        <f t="shared" ref="BS82" si="129">BS84+BS85+BS86</f>
        <v>0</v>
      </c>
      <c r="BT82" s="174">
        <f t="shared" ref="BT82" si="130">BT84+BT85+BT86</f>
        <v>2.7749999999999999</v>
      </c>
      <c r="BU82" s="174">
        <f t="shared" ref="BU82" si="131">BU84+BU85+BU86</f>
        <v>0</v>
      </c>
      <c r="BV82" s="174">
        <f t="shared" ref="BV82" si="132">BV84+BV85+BV86</f>
        <v>0</v>
      </c>
      <c r="BW82" s="174">
        <f>E82-AN82</f>
        <v>0</v>
      </c>
      <c r="BX82" s="219">
        <v>0</v>
      </c>
      <c r="BY82" s="173">
        <f t="shared" si="18"/>
        <v>0.29685847593372738</v>
      </c>
      <c r="BZ82" s="67"/>
      <c r="CA82" s="136">
        <f>'10'!T60</f>
        <v>0</v>
      </c>
      <c r="CB82" s="60"/>
    </row>
    <row r="83" spans="1:80" s="120" customFormat="1" ht="102.75" customHeight="1">
      <c r="A83" s="137" t="s">
        <v>916</v>
      </c>
      <c r="B83" s="149" t="s">
        <v>918</v>
      </c>
      <c r="C83" s="121" t="s">
        <v>919</v>
      </c>
      <c r="D83" s="524">
        <f t="shared" si="4"/>
        <v>0.51718687088666104</v>
      </c>
      <c r="E83" s="524">
        <f t="shared" si="30"/>
        <v>0</v>
      </c>
      <c r="F83" s="524">
        <f>'12'!H78</f>
        <v>0.51718687088666104</v>
      </c>
      <c r="G83" s="524">
        <f t="shared" si="32"/>
        <v>0</v>
      </c>
      <c r="H83" s="524">
        <f t="shared" si="33"/>
        <v>0</v>
      </c>
      <c r="I83" s="524">
        <f t="shared" si="106"/>
        <v>0</v>
      </c>
      <c r="J83" s="524">
        <f t="shared" si="34"/>
        <v>0</v>
      </c>
      <c r="K83" s="524">
        <f t="shared" si="35"/>
        <v>0</v>
      </c>
      <c r="L83" s="515">
        <v>0</v>
      </c>
      <c r="M83" s="515">
        <v>0</v>
      </c>
      <c r="N83" s="515">
        <v>0</v>
      </c>
      <c r="O83" s="515">
        <v>0</v>
      </c>
      <c r="P83" s="515">
        <v>0</v>
      </c>
      <c r="Q83" s="515">
        <v>0</v>
      </c>
      <c r="R83" s="515">
        <v>0</v>
      </c>
      <c r="S83" s="515">
        <v>0</v>
      </c>
      <c r="T83" s="515">
        <v>0</v>
      </c>
      <c r="U83" s="515">
        <v>0</v>
      </c>
      <c r="V83" s="515">
        <v>0</v>
      </c>
      <c r="W83" s="515">
        <v>0</v>
      </c>
      <c r="X83" s="515">
        <v>0</v>
      </c>
      <c r="Y83" s="515">
        <v>0</v>
      </c>
      <c r="Z83" s="515">
        <v>0</v>
      </c>
      <c r="AA83" s="515">
        <v>0</v>
      </c>
      <c r="AB83" s="515">
        <v>0</v>
      </c>
      <c r="AC83" s="515">
        <v>0</v>
      </c>
      <c r="AD83" s="515">
        <v>0</v>
      </c>
      <c r="AE83" s="515">
        <v>0</v>
      </c>
      <c r="AF83" s="515">
        <v>0</v>
      </c>
      <c r="AG83" s="515">
        <v>0</v>
      </c>
      <c r="AH83" s="524">
        <f>F83</f>
        <v>0.51718687088666104</v>
      </c>
      <c r="AI83" s="515">
        <v>0</v>
      </c>
      <c r="AJ83" s="515">
        <v>0</v>
      </c>
      <c r="AK83" s="515">
        <v>0</v>
      </c>
      <c r="AL83" s="515">
        <v>0</v>
      </c>
      <c r="AM83" s="515">
        <v>0</v>
      </c>
      <c r="AN83" s="522">
        <f t="shared" ref="AN83" si="133">AU83+BB83+BI83+BP83</f>
        <v>0</v>
      </c>
      <c r="AO83" s="522">
        <f t="shared" ref="AO83" si="134">AV83+BC83+BJ83+BQ83</f>
        <v>0.24237288000000001</v>
      </c>
      <c r="AP83" s="522">
        <f t="shared" ref="AP83" si="135">AW83+BD83+BK83+BR83</f>
        <v>0</v>
      </c>
      <c r="AQ83" s="522">
        <f t="shared" ref="AQ83" si="136">AX83+BE83+BL83+BS83</f>
        <v>0</v>
      </c>
      <c r="AR83" s="522">
        <f t="shared" ref="AR83" si="137">AY83+BF83+BM83+BT83</f>
        <v>0</v>
      </c>
      <c r="AS83" s="522">
        <f t="shared" ref="AS83" si="138">AZ83+BG83+BN83+BU83</f>
        <v>0</v>
      </c>
      <c r="AT83" s="522">
        <f t="shared" ref="AT83" si="139">BA83+BH83+BO83+BV83</f>
        <v>0</v>
      </c>
      <c r="AU83" s="522">
        <v>0</v>
      </c>
      <c r="AV83" s="522">
        <f>'12'!K77</f>
        <v>0</v>
      </c>
      <c r="AW83" s="522">
        <v>0</v>
      </c>
      <c r="AX83" s="522">
        <v>0</v>
      </c>
      <c r="AY83" s="522">
        <v>0</v>
      </c>
      <c r="AZ83" s="522">
        <v>0</v>
      </c>
      <c r="BA83" s="522">
        <v>0</v>
      </c>
      <c r="BB83" s="522">
        <v>0</v>
      </c>
      <c r="BC83" s="522">
        <f>'12'!M77</f>
        <v>0</v>
      </c>
      <c r="BD83" s="522">
        <v>0</v>
      </c>
      <c r="BE83" s="522">
        <v>0</v>
      </c>
      <c r="BF83" s="522">
        <v>0</v>
      </c>
      <c r="BG83" s="522">
        <v>0</v>
      </c>
      <c r="BH83" s="522">
        <v>0</v>
      </c>
      <c r="BI83" s="522">
        <v>0</v>
      </c>
      <c r="BJ83" s="522">
        <v>0</v>
      </c>
      <c r="BK83" s="522">
        <v>0</v>
      </c>
      <c r="BL83" s="522">
        <v>0</v>
      </c>
      <c r="BM83" s="522">
        <v>0</v>
      </c>
      <c r="BN83" s="522">
        <v>0</v>
      </c>
      <c r="BO83" s="522">
        <v>0</v>
      </c>
      <c r="BP83" s="522">
        <v>0</v>
      </c>
      <c r="BQ83" s="522">
        <v>0.24237288000000001</v>
      </c>
      <c r="BR83" s="522">
        <v>0</v>
      </c>
      <c r="BS83" s="522">
        <v>0</v>
      </c>
      <c r="BT83" s="522">
        <v>0</v>
      </c>
      <c r="BU83" s="522">
        <v>0</v>
      </c>
      <c r="BV83" s="522">
        <v>0</v>
      </c>
      <c r="BW83" s="522">
        <f t="shared" ref="BW83" si="140">E83-AN83</f>
        <v>0</v>
      </c>
      <c r="BX83" s="531">
        <v>0</v>
      </c>
      <c r="BY83" s="174">
        <f t="shared" si="18"/>
        <v>0.27481399088666103</v>
      </c>
      <c r="BZ83" s="550"/>
      <c r="CA83" s="599" t="str">
        <f>'12'!V78</f>
        <v>Плановые объемы 2018 года освоены  в полном объеме. Экономия по результатам конкурсной процедуры.</v>
      </c>
      <c r="CB83" s="551"/>
    </row>
    <row r="84" spans="1:80" s="120" customFormat="1" ht="78.75">
      <c r="A84" s="137" t="s">
        <v>916</v>
      </c>
      <c r="B84" s="149" t="s">
        <v>920</v>
      </c>
      <c r="C84" s="121" t="s">
        <v>921</v>
      </c>
      <c r="D84" s="524">
        <f t="shared" si="4"/>
        <v>0.41204448504706498</v>
      </c>
      <c r="E84" s="524">
        <f t="shared" ref="E84:K84" si="141">L84+S84+Z84+AG84</f>
        <v>0</v>
      </c>
      <c r="F84" s="524">
        <f>'12'!H79</f>
        <v>0.41204448504706498</v>
      </c>
      <c r="G84" s="524">
        <f t="shared" si="141"/>
        <v>0</v>
      </c>
      <c r="H84" s="524">
        <f t="shared" si="141"/>
        <v>0</v>
      </c>
      <c r="I84" s="524">
        <f t="shared" si="141"/>
        <v>0</v>
      </c>
      <c r="J84" s="524">
        <f t="shared" si="141"/>
        <v>0</v>
      </c>
      <c r="K84" s="524">
        <f t="shared" si="141"/>
        <v>0</v>
      </c>
      <c r="L84" s="515">
        <v>0</v>
      </c>
      <c r="M84" s="515">
        <v>0</v>
      </c>
      <c r="N84" s="515">
        <v>0</v>
      </c>
      <c r="O84" s="515">
        <v>0</v>
      </c>
      <c r="P84" s="515">
        <v>0</v>
      </c>
      <c r="Q84" s="515">
        <v>0</v>
      </c>
      <c r="R84" s="515">
        <v>0</v>
      </c>
      <c r="S84" s="515">
        <v>0</v>
      </c>
      <c r="T84" s="515">
        <v>0</v>
      </c>
      <c r="U84" s="515">
        <v>0</v>
      </c>
      <c r="V84" s="515">
        <v>0</v>
      </c>
      <c r="W84" s="515">
        <v>0</v>
      </c>
      <c r="X84" s="515">
        <v>0</v>
      </c>
      <c r="Y84" s="515">
        <v>0</v>
      </c>
      <c r="Z84" s="515">
        <v>0</v>
      </c>
      <c r="AA84" s="515">
        <v>0</v>
      </c>
      <c r="AB84" s="515">
        <v>0</v>
      </c>
      <c r="AC84" s="515">
        <v>0</v>
      </c>
      <c r="AD84" s="515">
        <v>0</v>
      </c>
      <c r="AE84" s="515">
        <v>0</v>
      </c>
      <c r="AF84" s="515">
        <v>0</v>
      </c>
      <c r="AG84" s="515">
        <v>0</v>
      </c>
      <c r="AH84" s="524">
        <f t="shared" ref="AH84:AH86" si="142">F84</f>
        <v>0.41204448504706498</v>
      </c>
      <c r="AI84" s="515">
        <v>0</v>
      </c>
      <c r="AJ84" s="515">
        <v>0</v>
      </c>
      <c r="AK84" s="515">
        <v>0</v>
      </c>
      <c r="AL84" s="515">
        <v>0</v>
      </c>
      <c r="AM84" s="515">
        <v>0</v>
      </c>
      <c r="AN84" s="522">
        <f t="shared" si="21"/>
        <v>0</v>
      </c>
      <c r="AO84" s="522">
        <f t="shared" si="22"/>
        <v>0.39</v>
      </c>
      <c r="AP84" s="522">
        <f t="shared" si="11"/>
        <v>0</v>
      </c>
      <c r="AQ84" s="522">
        <f t="shared" si="12"/>
        <v>0</v>
      </c>
      <c r="AR84" s="522">
        <f t="shared" si="13"/>
        <v>0</v>
      </c>
      <c r="AS84" s="522">
        <f t="shared" si="14"/>
        <v>0</v>
      </c>
      <c r="AT84" s="522">
        <f t="shared" si="15"/>
        <v>0</v>
      </c>
      <c r="AU84" s="522">
        <v>0</v>
      </c>
      <c r="AV84" s="522">
        <v>0.39</v>
      </c>
      <c r="AW84" s="522">
        <v>0</v>
      </c>
      <c r="AX84" s="522">
        <v>0</v>
      </c>
      <c r="AY84" s="522">
        <v>0</v>
      </c>
      <c r="AZ84" s="522">
        <v>0</v>
      </c>
      <c r="BA84" s="522">
        <v>0</v>
      </c>
      <c r="BB84" s="522">
        <v>0</v>
      </c>
      <c r="BC84" s="522">
        <f>'12'!M78</f>
        <v>0</v>
      </c>
      <c r="BD84" s="522">
        <v>0</v>
      </c>
      <c r="BE84" s="522">
        <v>0</v>
      </c>
      <c r="BF84" s="522">
        <v>0</v>
      </c>
      <c r="BG84" s="522">
        <v>0</v>
      </c>
      <c r="BH84" s="522">
        <v>0</v>
      </c>
      <c r="BI84" s="522">
        <v>0</v>
      </c>
      <c r="BJ84" s="522">
        <v>0</v>
      </c>
      <c r="BK84" s="522">
        <v>0</v>
      </c>
      <c r="BL84" s="522">
        <v>0</v>
      </c>
      <c r="BM84" s="522">
        <v>0</v>
      </c>
      <c r="BN84" s="522">
        <v>0</v>
      </c>
      <c r="BO84" s="522">
        <v>0</v>
      </c>
      <c r="BP84" s="522">
        <v>0</v>
      </c>
      <c r="BQ84" s="522">
        <v>0</v>
      </c>
      <c r="BR84" s="522">
        <v>0</v>
      </c>
      <c r="BS84" s="522">
        <v>0</v>
      </c>
      <c r="BT84" s="522">
        <v>0</v>
      </c>
      <c r="BU84" s="522">
        <v>0</v>
      </c>
      <c r="BV84" s="522">
        <v>0</v>
      </c>
      <c r="BW84" s="522">
        <f t="shared" si="17"/>
        <v>0</v>
      </c>
      <c r="BX84" s="531">
        <v>0</v>
      </c>
      <c r="BY84" s="174">
        <f t="shared" si="18"/>
        <v>2.2044485047064966E-2</v>
      </c>
      <c r="BZ84" s="550"/>
      <c r="CA84" s="599" t="str">
        <f>'12'!V79</f>
        <v>Плановые объемы 2018 года освоены  в полном объеме. Экономия по результатам конкурсной процедуры.</v>
      </c>
      <c r="CB84" s="551"/>
    </row>
    <row r="85" spans="1:80" s="120" customFormat="1" ht="63">
      <c r="A85" s="137" t="s">
        <v>916</v>
      </c>
      <c r="B85" s="149" t="s">
        <v>922</v>
      </c>
      <c r="C85" s="121" t="s">
        <v>923</v>
      </c>
      <c r="D85" s="524">
        <f t="shared" si="4"/>
        <v>1.9842542400000001</v>
      </c>
      <c r="E85" s="524">
        <f t="shared" ref="E85:E86" si="143">L85+S85+Z85+AG85</f>
        <v>0</v>
      </c>
      <c r="F85" s="524">
        <f>'12'!H80</f>
        <v>1.9842542400000001</v>
      </c>
      <c r="G85" s="524">
        <f t="shared" ref="G85:G86" si="144">N85+U85+AB85+AI85</f>
        <v>0</v>
      </c>
      <c r="H85" s="524">
        <f t="shared" ref="H85:H86" si="145">O85+V85+AC85+AJ85</f>
        <v>0</v>
      </c>
      <c r="I85" s="524">
        <f t="shared" ref="I85:I86" si="146">P85+W85+AD85+AK85</f>
        <v>1</v>
      </c>
      <c r="J85" s="524">
        <f t="shared" ref="J85:J86" si="147">Q85+X85+AE85+AL85</f>
        <v>0</v>
      </c>
      <c r="K85" s="524">
        <f t="shared" ref="K85:K86" si="148">R85+Y85+AF85+AM85</f>
        <v>0</v>
      </c>
      <c r="L85" s="515">
        <v>0</v>
      </c>
      <c r="M85" s="515">
        <v>0</v>
      </c>
      <c r="N85" s="515">
        <v>0</v>
      </c>
      <c r="O85" s="515">
        <v>0</v>
      </c>
      <c r="P85" s="515">
        <v>0</v>
      </c>
      <c r="Q85" s="515">
        <v>0</v>
      </c>
      <c r="R85" s="515">
        <v>0</v>
      </c>
      <c r="S85" s="515">
        <v>0</v>
      </c>
      <c r="T85" s="515">
        <v>0</v>
      </c>
      <c r="U85" s="515">
        <v>0</v>
      </c>
      <c r="V85" s="515">
        <v>0</v>
      </c>
      <c r="W85" s="515">
        <v>0</v>
      </c>
      <c r="X85" s="515">
        <v>0</v>
      </c>
      <c r="Y85" s="515">
        <v>0</v>
      </c>
      <c r="Z85" s="515">
        <v>0</v>
      </c>
      <c r="AA85" s="515">
        <v>0</v>
      </c>
      <c r="AB85" s="515">
        <v>0</v>
      </c>
      <c r="AC85" s="515">
        <v>0</v>
      </c>
      <c r="AD85" s="515">
        <v>0</v>
      </c>
      <c r="AE85" s="515">
        <v>0</v>
      </c>
      <c r="AF85" s="515">
        <v>0</v>
      </c>
      <c r="AG85" s="515">
        <v>0</v>
      </c>
      <c r="AH85" s="524">
        <f t="shared" si="142"/>
        <v>1.9842542400000001</v>
      </c>
      <c r="AI85" s="515">
        <v>0</v>
      </c>
      <c r="AJ85" s="515">
        <v>0</v>
      </c>
      <c r="AK85" s="515">
        <v>1</v>
      </c>
      <c r="AL85" s="515">
        <v>0</v>
      </c>
      <c r="AM85" s="515">
        <v>0</v>
      </c>
      <c r="AN85" s="522">
        <f t="shared" si="21"/>
        <v>0</v>
      </c>
      <c r="AO85" s="522">
        <f t="shared" si="22"/>
        <v>1.9842542400000001</v>
      </c>
      <c r="AP85" s="522">
        <f t="shared" si="11"/>
        <v>0</v>
      </c>
      <c r="AQ85" s="522">
        <f t="shared" si="12"/>
        <v>0</v>
      </c>
      <c r="AR85" s="522">
        <f t="shared" si="13"/>
        <v>1</v>
      </c>
      <c r="AS85" s="522">
        <f t="shared" si="14"/>
        <v>0</v>
      </c>
      <c r="AT85" s="522">
        <f t="shared" si="15"/>
        <v>0</v>
      </c>
      <c r="AU85" s="522">
        <v>0</v>
      </c>
      <c r="AV85" s="522">
        <f>'12'!K80</f>
        <v>0</v>
      </c>
      <c r="AW85" s="522">
        <v>0</v>
      </c>
      <c r="AX85" s="522">
        <v>0</v>
      </c>
      <c r="AY85" s="522">
        <v>0</v>
      </c>
      <c r="AZ85" s="522">
        <v>0</v>
      </c>
      <c r="BA85" s="522">
        <v>0</v>
      </c>
      <c r="BB85" s="522">
        <v>0</v>
      </c>
      <c r="BC85" s="522">
        <f>'12'!M80</f>
        <v>0</v>
      </c>
      <c r="BD85" s="522">
        <v>0</v>
      </c>
      <c r="BE85" s="522">
        <v>0</v>
      </c>
      <c r="BF85" s="522">
        <v>0</v>
      </c>
      <c r="BG85" s="522">
        <v>0</v>
      </c>
      <c r="BH85" s="522">
        <v>0</v>
      </c>
      <c r="BI85" s="522">
        <v>0</v>
      </c>
      <c r="BJ85" s="522">
        <v>0</v>
      </c>
      <c r="BK85" s="522">
        <v>0</v>
      </c>
      <c r="BL85" s="522">
        <v>0</v>
      </c>
      <c r="BM85" s="522">
        <v>0</v>
      </c>
      <c r="BN85" s="522">
        <v>0</v>
      </c>
      <c r="BO85" s="522">
        <v>0</v>
      </c>
      <c r="BP85" s="522">
        <v>0</v>
      </c>
      <c r="BQ85" s="522">
        <f>1984254.24/1000000</f>
        <v>1.9842542400000001</v>
      </c>
      <c r="BR85" s="522">
        <v>0</v>
      </c>
      <c r="BS85" s="522">
        <v>0</v>
      </c>
      <c r="BT85" s="522">
        <v>1</v>
      </c>
      <c r="BU85" s="522">
        <v>0</v>
      </c>
      <c r="BV85" s="522">
        <v>0</v>
      </c>
      <c r="BW85" s="522">
        <f t="shared" si="17"/>
        <v>0</v>
      </c>
      <c r="BX85" s="531">
        <v>0</v>
      </c>
      <c r="BY85" s="174">
        <f t="shared" si="18"/>
        <v>0</v>
      </c>
      <c r="BZ85" s="550"/>
      <c r="CA85" s="550"/>
      <c r="CB85" s="551"/>
    </row>
    <row r="86" spans="1:80" s="120" customFormat="1" ht="78.75">
      <c r="A86" s="137" t="s">
        <v>916</v>
      </c>
      <c r="B86" s="149" t="s">
        <v>1089</v>
      </c>
      <c r="C86" s="121" t="s">
        <v>924</v>
      </c>
      <c r="D86" s="524">
        <f t="shared" si="4"/>
        <v>3.5556728813559322</v>
      </c>
      <c r="E86" s="524">
        <f t="shared" si="143"/>
        <v>0</v>
      </c>
      <c r="F86" s="524">
        <f>'12'!H81</f>
        <v>3.5556728813559322</v>
      </c>
      <c r="G86" s="524">
        <f t="shared" si="144"/>
        <v>0</v>
      </c>
      <c r="H86" s="524">
        <f t="shared" si="145"/>
        <v>0</v>
      </c>
      <c r="I86" s="524">
        <f t="shared" si="146"/>
        <v>1.7749999999999999</v>
      </c>
      <c r="J86" s="524">
        <f t="shared" si="147"/>
        <v>0</v>
      </c>
      <c r="K86" s="524">
        <f t="shared" si="148"/>
        <v>0</v>
      </c>
      <c r="L86" s="515">
        <v>0</v>
      </c>
      <c r="M86" s="515">
        <v>0</v>
      </c>
      <c r="N86" s="515">
        <v>0</v>
      </c>
      <c r="O86" s="515">
        <v>0</v>
      </c>
      <c r="P86" s="515">
        <v>0</v>
      </c>
      <c r="Q86" s="515">
        <v>0</v>
      </c>
      <c r="R86" s="515">
        <v>0</v>
      </c>
      <c r="S86" s="515">
        <v>0</v>
      </c>
      <c r="T86" s="515">
        <v>0</v>
      </c>
      <c r="U86" s="515">
        <v>0</v>
      </c>
      <c r="V86" s="515">
        <v>0</v>
      </c>
      <c r="W86" s="515">
        <v>0</v>
      </c>
      <c r="X86" s="515">
        <v>0</v>
      </c>
      <c r="Y86" s="515">
        <v>0</v>
      </c>
      <c r="Z86" s="515">
        <v>0</v>
      </c>
      <c r="AA86" s="515">
        <v>0</v>
      </c>
      <c r="AB86" s="515">
        <v>0</v>
      </c>
      <c r="AC86" s="515">
        <v>0</v>
      </c>
      <c r="AD86" s="515">
        <v>0</v>
      </c>
      <c r="AE86" s="515">
        <v>0</v>
      </c>
      <c r="AF86" s="515">
        <v>0</v>
      </c>
      <c r="AG86" s="515">
        <v>0</v>
      </c>
      <c r="AH86" s="524">
        <f t="shared" si="142"/>
        <v>3.5556728813559322</v>
      </c>
      <c r="AI86" s="515">
        <v>0</v>
      </c>
      <c r="AJ86" s="515">
        <v>0</v>
      </c>
      <c r="AK86" s="515">
        <v>1.7749999999999999</v>
      </c>
      <c r="AL86" s="515">
        <v>0</v>
      </c>
      <c r="AM86" s="515">
        <v>0</v>
      </c>
      <c r="AN86" s="522">
        <f t="shared" si="21"/>
        <v>0</v>
      </c>
      <c r="AO86" s="522">
        <f t="shared" si="22"/>
        <v>3.5556728813559322</v>
      </c>
      <c r="AP86" s="522">
        <f t="shared" si="11"/>
        <v>0</v>
      </c>
      <c r="AQ86" s="522">
        <f t="shared" si="12"/>
        <v>0</v>
      </c>
      <c r="AR86" s="522">
        <f t="shared" si="13"/>
        <v>1.7749999999999999</v>
      </c>
      <c r="AS86" s="522">
        <f t="shared" si="14"/>
        <v>0</v>
      </c>
      <c r="AT86" s="522">
        <f t="shared" si="15"/>
        <v>0</v>
      </c>
      <c r="AU86" s="522">
        <v>0</v>
      </c>
      <c r="AV86" s="522">
        <f>'12'!K81</f>
        <v>0</v>
      </c>
      <c r="AW86" s="522">
        <v>0</v>
      </c>
      <c r="AX86" s="522">
        <v>0</v>
      </c>
      <c r="AY86" s="522">
        <v>0</v>
      </c>
      <c r="AZ86" s="522">
        <v>0</v>
      </c>
      <c r="BA86" s="522">
        <v>0</v>
      </c>
      <c r="BB86" s="522">
        <v>0</v>
      </c>
      <c r="BC86" s="522">
        <f>'12'!M81</f>
        <v>0</v>
      </c>
      <c r="BD86" s="522">
        <v>0</v>
      </c>
      <c r="BE86" s="522">
        <v>0</v>
      </c>
      <c r="BF86" s="522">
        <v>0</v>
      </c>
      <c r="BG86" s="522">
        <v>0</v>
      </c>
      <c r="BH86" s="522">
        <v>0</v>
      </c>
      <c r="BI86" s="522">
        <v>0</v>
      </c>
      <c r="BJ86" s="522">
        <v>0</v>
      </c>
      <c r="BK86" s="522">
        <v>0</v>
      </c>
      <c r="BL86" s="522">
        <v>0</v>
      </c>
      <c r="BM86" s="522">
        <v>0</v>
      </c>
      <c r="BN86" s="522">
        <v>0</v>
      </c>
      <c r="BO86" s="522">
        <v>0</v>
      </c>
      <c r="BP86" s="522">
        <v>0</v>
      </c>
      <c r="BQ86" s="522">
        <f>4.195694/1.18</f>
        <v>3.5556728813559322</v>
      </c>
      <c r="BR86" s="522">
        <v>0</v>
      </c>
      <c r="BS86" s="522">
        <v>0</v>
      </c>
      <c r="BT86" s="522">
        <v>1.7749999999999999</v>
      </c>
      <c r="BU86" s="522">
        <v>0</v>
      </c>
      <c r="BV86" s="522">
        <v>0</v>
      </c>
      <c r="BW86" s="522">
        <f t="shared" si="17"/>
        <v>0</v>
      </c>
      <c r="BX86" s="531">
        <v>0</v>
      </c>
      <c r="BY86" s="174">
        <f t="shared" si="18"/>
        <v>0</v>
      </c>
      <c r="BZ86" s="550"/>
      <c r="CA86" s="550"/>
      <c r="CB86" s="551"/>
    </row>
    <row r="87" spans="1:80" s="152" customFormat="1" ht="47.25">
      <c r="A87" s="137" t="s">
        <v>916</v>
      </c>
      <c r="B87" s="149" t="s">
        <v>1069</v>
      </c>
      <c r="C87" s="121" t="s">
        <v>1093</v>
      </c>
      <c r="D87" s="524">
        <f t="shared" si="4"/>
        <v>0</v>
      </c>
      <c r="E87" s="172">
        <v>0</v>
      </c>
      <c r="F87" s="172">
        <v>0</v>
      </c>
      <c r="G87" s="172">
        <v>0</v>
      </c>
      <c r="H87" s="172">
        <v>0</v>
      </c>
      <c r="I87" s="172">
        <v>0</v>
      </c>
      <c r="J87" s="172">
        <v>0</v>
      </c>
      <c r="K87" s="172">
        <v>0</v>
      </c>
      <c r="L87" s="177">
        <v>0</v>
      </c>
      <c r="M87" s="175">
        <v>0</v>
      </c>
      <c r="N87" s="177">
        <v>0</v>
      </c>
      <c r="O87" s="175">
        <v>0</v>
      </c>
      <c r="P87" s="177">
        <v>0</v>
      </c>
      <c r="Q87" s="175">
        <v>0</v>
      </c>
      <c r="R87" s="177">
        <v>0</v>
      </c>
      <c r="S87" s="175">
        <v>0</v>
      </c>
      <c r="T87" s="177">
        <v>0</v>
      </c>
      <c r="U87" s="175">
        <v>0</v>
      </c>
      <c r="V87" s="177">
        <v>0</v>
      </c>
      <c r="W87" s="175">
        <v>0</v>
      </c>
      <c r="X87" s="177">
        <v>0</v>
      </c>
      <c r="Y87" s="175">
        <v>0</v>
      </c>
      <c r="Z87" s="175">
        <v>0</v>
      </c>
      <c r="AA87" s="177">
        <v>0</v>
      </c>
      <c r="AB87" s="175">
        <v>0</v>
      </c>
      <c r="AC87" s="177">
        <v>0</v>
      </c>
      <c r="AD87" s="175">
        <v>0</v>
      </c>
      <c r="AE87" s="177">
        <v>0</v>
      </c>
      <c r="AF87" s="175">
        <v>0</v>
      </c>
      <c r="AG87" s="175">
        <v>0</v>
      </c>
      <c r="AH87" s="177">
        <v>0</v>
      </c>
      <c r="AI87" s="175">
        <v>0</v>
      </c>
      <c r="AJ87" s="177">
        <v>0</v>
      </c>
      <c r="AK87" s="175">
        <v>0</v>
      </c>
      <c r="AL87" s="177">
        <v>0</v>
      </c>
      <c r="AM87" s="175">
        <v>0</v>
      </c>
      <c r="AN87" s="174">
        <v>0</v>
      </c>
      <c r="AO87" s="174">
        <v>0</v>
      </c>
      <c r="AP87" s="174">
        <v>0</v>
      </c>
      <c r="AQ87" s="174">
        <v>0</v>
      </c>
      <c r="AR87" s="174">
        <v>0</v>
      </c>
      <c r="AS87" s="174">
        <v>0</v>
      </c>
      <c r="AT87" s="174">
        <v>0</v>
      </c>
      <c r="AU87" s="174">
        <v>0</v>
      </c>
      <c r="AV87" s="174">
        <f>'12'!K82</f>
        <v>0</v>
      </c>
      <c r="AW87" s="174">
        <v>0</v>
      </c>
      <c r="AX87" s="174">
        <v>0</v>
      </c>
      <c r="AY87" s="174">
        <v>0</v>
      </c>
      <c r="AZ87" s="174">
        <v>0</v>
      </c>
      <c r="BA87" s="174">
        <v>0</v>
      </c>
      <c r="BB87" s="174">
        <v>0</v>
      </c>
      <c r="BC87" s="174">
        <v>0</v>
      </c>
      <c r="BD87" s="174">
        <v>0</v>
      </c>
      <c r="BE87" s="174">
        <v>0</v>
      </c>
      <c r="BF87" s="174">
        <v>0</v>
      </c>
      <c r="BG87" s="174">
        <v>0</v>
      </c>
      <c r="BH87" s="174">
        <v>0</v>
      </c>
      <c r="BI87" s="174">
        <v>0</v>
      </c>
      <c r="BJ87" s="522">
        <v>0</v>
      </c>
      <c r="BK87" s="522">
        <v>0</v>
      </c>
      <c r="BL87" s="522">
        <v>0</v>
      </c>
      <c r="BM87" s="522">
        <v>0</v>
      </c>
      <c r="BN87" s="522">
        <v>0</v>
      </c>
      <c r="BO87" s="522">
        <v>0</v>
      </c>
      <c r="BP87" s="174">
        <v>0</v>
      </c>
      <c r="BQ87" s="174">
        <v>0</v>
      </c>
      <c r="BR87" s="174">
        <v>0</v>
      </c>
      <c r="BS87" s="174">
        <v>0</v>
      </c>
      <c r="BT87" s="174">
        <v>0</v>
      </c>
      <c r="BU87" s="174">
        <v>0</v>
      </c>
      <c r="BV87" s="174">
        <v>0</v>
      </c>
      <c r="BW87" s="174">
        <v>0</v>
      </c>
      <c r="BX87" s="219">
        <v>0</v>
      </c>
      <c r="BY87" s="173">
        <f t="shared" si="18"/>
        <v>0</v>
      </c>
      <c r="BZ87" s="112"/>
      <c r="CA87" s="163"/>
      <c r="CB87" s="60"/>
    </row>
    <row r="88" spans="1:80" s="105" customFormat="1" ht="47.25">
      <c r="A88" s="146" t="s">
        <v>925</v>
      </c>
      <c r="B88" s="144" t="s">
        <v>926</v>
      </c>
      <c r="C88" s="125" t="s">
        <v>876</v>
      </c>
      <c r="D88" s="524">
        <f t="shared" si="4"/>
        <v>0</v>
      </c>
      <c r="E88" s="172">
        <f t="shared" ref="E88:E115" si="149">L88+S88+Z88+AG88</f>
        <v>0</v>
      </c>
      <c r="F88" s="172">
        <f t="shared" ref="F88:F115" si="150">M88+T88+AA88+AH88</f>
        <v>0</v>
      </c>
      <c r="G88" s="172">
        <f t="shared" ref="G88:G115" si="151">N88+U88+AB88+AI88</f>
        <v>0</v>
      </c>
      <c r="H88" s="172">
        <f t="shared" ref="H88:H115" si="152">O88+V88+AC88+AJ88</f>
        <v>0</v>
      </c>
      <c r="I88" s="172">
        <f t="shared" ref="I88:I115" si="153">P88+W88+AD88+AK88</f>
        <v>0</v>
      </c>
      <c r="J88" s="172">
        <f t="shared" ref="J88:J115" si="154">Q88+X88+AE88+AL88</f>
        <v>0</v>
      </c>
      <c r="K88" s="172">
        <f t="shared" ref="K88:K115" si="155">R88+Y88+AF88+AM88</f>
        <v>0</v>
      </c>
      <c r="L88" s="177">
        <v>0</v>
      </c>
      <c r="M88" s="175">
        <v>0</v>
      </c>
      <c r="N88" s="177">
        <v>0</v>
      </c>
      <c r="O88" s="175">
        <v>0</v>
      </c>
      <c r="P88" s="177">
        <v>0</v>
      </c>
      <c r="Q88" s="175">
        <v>0</v>
      </c>
      <c r="R88" s="177">
        <v>0</v>
      </c>
      <c r="S88" s="175">
        <v>0</v>
      </c>
      <c r="T88" s="177">
        <v>0</v>
      </c>
      <c r="U88" s="175">
        <v>0</v>
      </c>
      <c r="V88" s="177">
        <v>0</v>
      </c>
      <c r="W88" s="175">
        <v>0</v>
      </c>
      <c r="X88" s="177">
        <v>0</v>
      </c>
      <c r="Y88" s="175">
        <v>0</v>
      </c>
      <c r="Z88" s="175">
        <v>0</v>
      </c>
      <c r="AA88" s="177">
        <v>0</v>
      </c>
      <c r="AB88" s="175">
        <v>0</v>
      </c>
      <c r="AC88" s="177">
        <v>0</v>
      </c>
      <c r="AD88" s="175">
        <v>0</v>
      </c>
      <c r="AE88" s="177">
        <v>0</v>
      </c>
      <c r="AF88" s="175">
        <v>0</v>
      </c>
      <c r="AG88" s="175">
        <v>0</v>
      </c>
      <c r="AH88" s="177">
        <v>0</v>
      </c>
      <c r="AI88" s="175">
        <v>0</v>
      </c>
      <c r="AJ88" s="177">
        <v>0</v>
      </c>
      <c r="AK88" s="175">
        <v>0</v>
      </c>
      <c r="AL88" s="177">
        <v>0</v>
      </c>
      <c r="AM88" s="175">
        <v>0</v>
      </c>
      <c r="AN88" s="174">
        <f t="shared" si="21"/>
        <v>0</v>
      </c>
      <c r="AO88" s="174">
        <f t="shared" si="22"/>
        <v>0</v>
      </c>
      <c r="AP88" s="174">
        <f t="shared" si="11"/>
        <v>0</v>
      </c>
      <c r="AQ88" s="174">
        <f t="shared" si="12"/>
        <v>0</v>
      </c>
      <c r="AR88" s="174">
        <f t="shared" si="13"/>
        <v>0</v>
      </c>
      <c r="AS88" s="174">
        <f t="shared" si="14"/>
        <v>0</v>
      </c>
      <c r="AT88" s="174">
        <f t="shared" si="15"/>
        <v>0</v>
      </c>
      <c r="AU88" s="174">
        <v>0</v>
      </c>
      <c r="AV88" s="174">
        <v>0</v>
      </c>
      <c r="AW88" s="174">
        <v>0</v>
      </c>
      <c r="AX88" s="174">
        <v>0</v>
      </c>
      <c r="AY88" s="174">
        <v>0</v>
      </c>
      <c r="AZ88" s="174">
        <v>0</v>
      </c>
      <c r="BA88" s="174">
        <v>0</v>
      </c>
      <c r="BB88" s="174">
        <v>0</v>
      </c>
      <c r="BC88" s="174">
        <v>0</v>
      </c>
      <c r="BD88" s="174">
        <v>0</v>
      </c>
      <c r="BE88" s="174">
        <v>0</v>
      </c>
      <c r="BF88" s="174">
        <v>0</v>
      </c>
      <c r="BG88" s="174">
        <v>0</v>
      </c>
      <c r="BH88" s="174">
        <v>0</v>
      </c>
      <c r="BI88" s="174">
        <v>0</v>
      </c>
      <c r="BJ88" s="522">
        <v>0</v>
      </c>
      <c r="BK88" s="522">
        <v>0</v>
      </c>
      <c r="BL88" s="522">
        <v>0</v>
      </c>
      <c r="BM88" s="522">
        <v>0</v>
      </c>
      <c r="BN88" s="522">
        <v>0</v>
      </c>
      <c r="BO88" s="522">
        <v>0</v>
      </c>
      <c r="BP88" s="174">
        <v>0</v>
      </c>
      <c r="BQ88" s="174">
        <v>0</v>
      </c>
      <c r="BR88" s="174">
        <v>0</v>
      </c>
      <c r="BS88" s="174">
        <v>0</v>
      </c>
      <c r="BT88" s="174">
        <v>0</v>
      </c>
      <c r="BU88" s="174">
        <v>0</v>
      </c>
      <c r="BV88" s="174">
        <v>0</v>
      </c>
      <c r="BW88" s="174">
        <f t="shared" si="17"/>
        <v>0</v>
      </c>
      <c r="BX88" s="219">
        <v>0</v>
      </c>
      <c r="BY88" s="173">
        <f t="shared" si="18"/>
        <v>0</v>
      </c>
      <c r="BZ88" s="67"/>
      <c r="CA88" s="136">
        <f>'10'!T66</f>
        <v>0</v>
      </c>
      <c r="CB88" s="60"/>
    </row>
    <row r="89" spans="1:80" s="105" customFormat="1" ht="47.25">
      <c r="A89" s="118" t="s">
        <v>842</v>
      </c>
      <c r="B89" s="144" t="s">
        <v>927</v>
      </c>
      <c r="C89" s="125" t="s">
        <v>876</v>
      </c>
      <c r="D89" s="524">
        <f t="shared" ref="D89:D115" si="156">F89</f>
        <v>0</v>
      </c>
      <c r="E89" s="172">
        <f t="shared" si="149"/>
        <v>0</v>
      </c>
      <c r="F89" s="172">
        <f t="shared" si="150"/>
        <v>0</v>
      </c>
      <c r="G89" s="172">
        <f t="shared" si="151"/>
        <v>0</v>
      </c>
      <c r="H89" s="172">
        <f t="shared" si="152"/>
        <v>0</v>
      </c>
      <c r="I89" s="172">
        <f t="shared" si="153"/>
        <v>0</v>
      </c>
      <c r="J89" s="172">
        <f t="shared" si="154"/>
        <v>0</v>
      </c>
      <c r="K89" s="172">
        <f t="shared" si="155"/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0</v>
      </c>
      <c r="AE89" s="177">
        <v>0</v>
      </c>
      <c r="AF89" s="177">
        <v>0</v>
      </c>
      <c r="AG89" s="177">
        <v>0</v>
      </c>
      <c r="AH89" s="177">
        <v>0</v>
      </c>
      <c r="AI89" s="177">
        <v>0</v>
      </c>
      <c r="AJ89" s="177">
        <v>0</v>
      </c>
      <c r="AK89" s="177">
        <v>0</v>
      </c>
      <c r="AL89" s="177">
        <v>0</v>
      </c>
      <c r="AM89" s="177">
        <v>0</v>
      </c>
      <c r="AN89" s="174">
        <v>0</v>
      </c>
      <c r="AO89" s="174">
        <v>0</v>
      </c>
      <c r="AP89" s="174">
        <v>0</v>
      </c>
      <c r="AQ89" s="174">
        <v>0</v>
      </c>
      <c r="AR89" s="174">
        <v>0</v>
      </c>
      <c r="AS89" s="174">
        <v>0</v>
      </c>
      <c r="AT89" s="174">
        <v>0</v>
      </c>
      <c r="AU89" s="174">
        <v>0</v>
      </c>
      <c r="AV89" s="174">
        <v>0</v>
      </c>
      <c r="AW89" s="174">
        <v>0</v>
      </c>
      <c r="AX89" s="174">
        <v>0</v>
      </c>
      <c r="AY89" s="174">
        <v>0</v>
      </c>
      <c r="AZ89" s="174">
        <v>0</v>
      </c>
      <c r="BA89" s="174">
        <v>0</v>
      </c>
      <c r="BB89" s="174">
        <v>0</v>
      </c>
      <c r="BC89" s="174">
        <v>0</v>
      </c>
      <c r="BD89" s="174">
        <v>0</v>
      </c>
      <c r="BE89" s="174">
        <v>0</v>
      </c>
      <c r="BF89" s="174">
        <v>0</v>
      </c>
      <c r="BG89" s="174">
        <v>0</v>
      </c>
      <c r="BH89" s="174">
        <v>0</v>
      </c>
      <c r="BI89" s="174">
        <v>0</v>
      </c>
      <c r="BJ89" s="522">
        <v>0</v>
      </c>
      <c r="BK89" s="522">
        <v>0</v>
      </c>
      <c r="BL89" s="522">
        <v>0</v>
      </c>
      <c r="BM89" s="522">
        <v>0</v>
      </c>
      <c r="BN89" s="522">
        <v>0</v>
      </c>
      <c r="BO89" s="522">
        <v>0</v>
      </c>
      <c r="BP89" s="174">
        <v>0</v>
      </c>
      <c r="BQ89" s="174">
        <v>0</v>
      </c>
      <c r="BR89" s="174">
        <v>0</v>
      </c>
      <c r="BS89" s="174">
        <v>0</v>
      </c>
      <c r="BT89" s="174">
        <v>0</v>
      </c>
      <c r="BU89" s="174">
        <v>0</v>
      </c>
      <c r="BV89" s="174">
        <v>0</v>
      </c>
      <c r="BW89" s="174">
        <v>0</v>
      </c>
      <c r="BX89" s="174">
        <v>0</v>
      </c>
      <c r="BY89" s="173">
        <f t="shared" ref="BY89:BY116" si="157">F89-AO89</f>
        <v>0</v>
      </c>
      <c r="BZ89" s="67"/>
      <c r="CA89" s="136">
        <f>'10'!T67</f>
        <v>0</v>
      </c>
      <c r="CB89" s="60"/>
    </row>
    <row r="90" spans="1:80" s="105" customFormat="1" ht="47.25">
      <c r="A90" s="146" t="s">
        <v>436</v>
      </c>
      <c r="B90" s="144" t="s">
        <v>928</v>
      </c>
      <c r="C90" s="125" t="s">
        <v>876</v>
      </c>
      <c r="D90" s="524">
        <f t="shared" si="156"/>
        <v>0</v>
      </c>
      <c r="E90" s="172">
        <f t="shared" si="149"/>
        <v>0</v>
      </c>
      <c r="F90" s="172">
        <f t="shared" si="150"/>
        <v>0</v>
      </c>
      <c r="G90" s="172">
        <f t="shared" si="151"/>
        <v>0</v>
      </c>
      <c r="H90" s="172">
        <f t="shared" si="152"/>
        <v>0</v>
      </c>
      <c r="I90" s="172">
        <f t="shared" si="153"/>
        <v>0</v>
      </c>
      <c r="J90" s="172">
        <f t="shared" si="154"/>
        <v>0</v>
      </c>
      <c r="K90" s="172">
        <f t="shared" si="155"/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0</v>
      </c>
      <c r="AE90" s="177">
        <v>0</v>
      </c>
      <c r="AF90" s="177">
        <v>0</v>
      </c>
      <c r="AG90" s="177">
        <v>0</v>
      </c>
      <c r="AH90" s="177">
        <v>0</v>
      </c>
      <c r="AI90" s="177">
        <v>0</v>
      </c>
      <c r="AJ90" s="177">
        <v>0</v>
      </c>
      <c r="AK90" s="177">
        <v>0</v>
      </c>
      <c r="AL90" s="177">
        <v>0</v>
      </c>
      <c r="AM90" s="177">
        <v>0</v>
      </c>
      <c r="AN90" s="174">
        <v>0</v>
      </c>
      <c r="AO90" s="174">
        <v>0</v>
      </c>
      <c r="AP90" s="174">
        <v>0</v>
      </c>
      <c r="AQ90" s="174">
        <v>0</v>
      </c>
      <c r="AR90" s="174">
        <v>0</v>
      </c>
      <c r="AS90" s="174">
        <v>0</v>
      </c>
      <c r="AT90" s="174">
        <v>0</v>
      </c>
      <c r="AU90" s="174">
        <v>0</v>
      </c>
      <c r="AV90" s="174">
        <v>0</v>
      </c>
      <c r="AW90" s="174">
        <v>0</v>
      </c>
      <c r="AX90" s="174">
        <v>0</v>
      </c>
      <c r="AY90" s="174">
        <v>0</v>
      </c>
      <c r="AZ90" s="174">
        <v>0</v>
      </c>
      <c r="BA90" s="174">
        <v>0</v>
      </c>
      <c r="BB90" s="174">
        <v>0</v>
      </c>
      <c r="BC90" s="174">
        <v>0</v>
      </c>
      <c r="BD90" s="174">
        <v>0</v>
      </c>
      <c r="BE90" s="174">
        <v>0</v>
      </c>
      <c r="BF90" s="174">
        <v>0</v>
      </c>
      <c r="BG90" s="174">
        <v>0</v>
      </c>
      <c r="BH90" s="174">
        <v>0</v>
      </c>
      <c r="BI90" s="174">
        <v>0</v>
      </c>
      <c r="BJ90" s="522">
        <v>0</v>
      </c>
      <c r="BK90" s="522">
        <v>0</v>
      </c>
      <c r="BL90" s="522">
        <v>0</v>
      </c>
      <c r="BM90" s="522">
        <v>0</v>
      </c>
      <c r="BN90" s="522">
        <v>0</v>
      </c>
      <c r="BO90" s="522">
        <v>0</v>
      </c>
      <c r="BP90" s="174">
        <v>0</v>
      </c>
      <c r="BQ90" s="174">
        <v>0</v>
      </c>
      <c r="BR90" s="174">
        <v>0</v>
      </c>
      <c r="BS90" s="174">
        <v>0</v>
      </c>
      <c r="BT90" s="174">
        <v>0</v>
      </c>
      <c r="BU90" s="174">
        <v>0</v>
      </c>
      <c r="BV90" s="174">
        <v>0</v>
      </c>
      <c r="BW90" s="174">
        <v>0</v>
      </c>
      <c r="BX90" s="174">
        <v>0</v>
      </c>
      <c r="BY90" s="173">
        <f t="shared" si="157"/>
        <v>0</v>
      </c>
      <c r="BZ90" s="67"/>
      <c r="CA90" s="136">
        <f>'10'!T68</f>
        <v>0</v>
      </c>
      <c r="CB90" s="60"/>
    </row>
    <row r="91" spans="1:80" s="105" customFormat="1" ht="47.25">
      <c r="A91" s="146" t="s">
        <v>440</v>
      </c>
      <c r="B91" s="144" t="s">
        <v>929</v>
      </c>
      <c r="C91" s="125" t="s">
        <v>876</v>
      </c>
      <c r="D91" s="524">
        <f t="shared" si="156"/>
        <v>0</v>
      </c>
      <c r="E91" s="172">
        <f t="shared" si="149"/>
        <v>0</v>
      </c>
      <c r="F91" s="172">
        <f t="shared" si="150"/>
        <v>0</v>
      </c>
      <c r="G91" s="172">
        <f t="shared" si="151"/>
        <v>0</v>
      </c>
      <c r="H91" s="172">
        <f t="shared" si="152"/>
        <v>0</v>
      </c>
      <c r="I91" s="172">
        <f t="shared" si="153"/>
        <v>0</v>
      </c>
      <c r="J91" s="172">
        <f t="shared" si="154"/>
        <v>0</v>
      </c>
      <c r="K91" s="172">
        <f t="shared" si="155"/>
        <v>0</v>
      </c>
      <c r="L91" s="177">
        <v>0</v>
      </c>
      <c r="M91" s="175">
        <v>0</v>
      </c>
      <c r="N91" s="177">
        <v>0</v>
      </c>
      <c r="O91" s="175">
        <v>0</v>
      </c>
      <c r="P91" s="177">
        <v>0</v>
      </c>
      <c r="Q91" s="175">
        <v>0</v>
      </c>
      <c r="R91" s="177">
        <v>0</v>
      </c>
      <c r="S91" s="175">
        <v>0</v>
      </c>
      <c r="T91" s="177">
        <v>0</v>
      </c>
      <c r="U91" s="175">
        <v>0</v>
      </c>
      <c r="V91" s="177">
        <v>0</v>
      </c>
      <c r="W91" s="175">
        <v>0</v>
      </c>
      <c r="X91" s="177">
        <v>0</v>
      </c>
      <c r="Y91" s="175">
        <v>0</v>
      </c>
      <c r="Z91" s="175">
        <v>0</v>
      </c>
      <c r="AA91" s="177">
        <v>0</v>
      </c>
      <c r="AB91" s="175">
        <v>0</v>
      </c>
      <c r="AC91" s="177">
        <v>0</v>
      </c>
      <c r="AD91" s="175">
        <v>0</v>
      </c>
      <c r="AE91" s="177">
        <v>0</v>
      </c>
      <c r="AF91" s="175">
        <v>0</v>
      </c>
      <c r="AG91" s="175">
        <v>0</v>
      </c>
      <c r="AH91" s="177">
        <v>0</v>
      </c>
      <c r="AI91" s="175">
        <v>0</v>
      </c>
      <c r="AJ91" s="177">
        <v>0</v>
      </c>
      <c r="AK91" s="175">
        <v>0</v>
      </c>
      <c r="AL91" s="177">
        <v>0</v>
      </c>
      <c r="AM91" s="175">
        <v>0</v>
      </c>
      <c r="AN91" s="174">
        <f t="shared" si="21"/>
        <v>0</v>
      </c>
      <c r="AO91" s="174">
        <f t="shared" si="22"/>
        <v>0</v>
      </c>
      <c r="AP91" s="174">
        <f t="shared" si="11"/>
        <v>0</v>
      </c>
      <c r="AQ91" s="174">
        <f t="shared" si="12"/>
        <v>0</v>
      </c>
      <c r="AR91" s="174">
        <f t="shared" si="13"/>
        <v>0</v>
      </c>
      <c r="AS91" s="174">
        <f t="shared" si="14"/>
        <v>0</v>
      </c>
      <c r="AT91" s="174">
        <f t="shared" si="15"/>
        <v>0</v>
      </c>
      <c r="AU91" s="174">
        <v>0</v>
      </c>
      <c r="AV91" s="174">
        <v>0</v>
      </c>
      <c r="AW91" s="174">
        <v>0</v>
      </c>
      <c r="AX91" s="174">
        <v>0</v>
      </c>
      <c r="AY91" s="174">
        <v>0</v>
      </c>
      <c r="AZ91" s="174">
        <v>0</v>
      </c>
      <c r="BA91" s="174">
        <v>0</v>
      </c>
      <c r="BB91" s="174">
        <v>0</v>
      </c>
      <c r="BC91" s="174">
        <v>0</v>
      </c>
      <c r="BD91" s="174">
        <v>0</v>
      </c>
      <c r="BE91" s="174">
        <v>0</v>
      </c>
      <c r="BF91" s="174">
        <v>0</v>
      </c>
      <c r="BG91" s="174">
        <v>0</v>
      </c>
      <c r="BH91" s="174">
        <v>0</v>
      </c>
      <c r="BI91" s="174">
        <v>0</v>
      </c>
      <c r="BJ91" s="522">
        <v>0</v>
      </c>
      <c r="BK91" s="522">
        <v>0</v>
      </c>
      <c r="BL91" s="522">
        <v>0</v>
      </c>
      <c r="BM91" s="522">
        <v>0</v>
      </c>
      <c r="BN91" s="522">
        <v>0</v>
      </c>
      <c r="BO91" s="522">
        <v>0</v>
      </c>
      <c r="BP91" s="174">
        <v>0</v>
      </c>
      <c r="BQ91" s="174">
        <v>0</v>
      </c>
      <c r="BR91" s="174">
        <v>0</v>
      </c>
      <c r="BS91" s="174">
        <v>0</v>
      </c>
      <c r="BT91" s="174">
        <v>0</v>
      </c>
      <c r="BU91" s="174">
        <v>0</v>
      </c>
      <c r="BV91" s="174">
        <v>0</v>
      </c>
      <c r="BW91" s="174">
        <f t="shared" si="17"/>
        <v>0</v>
      </c>
      <c r="BX91" s="219">
        <v>0</v>
      </c>
      <c r="BY91" s="173">
        <f t="shared" si="157"/>
        <v>0</v>
      </c>
      <c r="BZ91" s="67"/>
      <c r="CA91" s="136">
        <f>'10'!T69</f>
        <v>0</v>
      </c>
      <c r="CB91" s="60"/>
    </row>
    <row r="92" spans="1:80" s="105" customFormat="1" ht="31.5">
      <c r="A92" s="146" t="s">
        <v>441</v>
      </c>
      <c r="B92" s="144" t="s">
        <v>930</v>
      </c>
      <c r="C92" s="125" t="s">
        <v>876</v>
      </c>
      <c r="D92" s="524">
        <f t="shared" si="156"/>
        <v>0</v>
      </c>
      <c r="E92" s="172">
        <f t="shared" si="149"/>
        <v>0</v>
      </c>
      <c r="F92" s="172">
        <f t="shared" si="150"/>
        <v>0</v>
      </c>
      <c r="G92" s="172">
        <f t="shared" si="151"/>
        <v>0</v>
      </c>
      <c r="H92" s="172">
        <f t="shared" si="152"/>
        <v>0</v>
      </c>
      <c r="I92" s="172">
        <f t="shared" si="153"/>
        <v>0</v>
      </c>
      <c r="J92" s="172">
        <f t="shared" si="154"/>
        <v>0</v>
      </c>
      <c r="K92" s="172">
        <f t="shared" si="155"/>
        <v>0</v>
      </c>
      <c r="L92" s="177">
        <v>0</v>
      </c>
      <c r="M92" s="175">
        <v>0</v>
      </c>
      <c r="N92" s="177">
        <v>0</v>
      </c>
      <c r="O92" s="175">
        <v>0</v>
      </c>
      <c r="P92" s="177">
        <v>0</v>
      </c>
      <c r="Q92" s="175">
        <v>0</v>
      </c>
      <c r="R92" s="177">
        <v>0</v>
      </c>
      <c r="S92" s="175">
        <v>0</v>
      </c>
      <c r="T92" s="177">
        <v>0</v>
      </c>
      <c r="U92" s="175">
        <v>0</v>
      </c>
      <c r="V92" s="177">
        <v>0</v>
      </c>
      <c r="W92" s="175">
        <v>0</v>
      </c>
      <c r="X92" s="177">
        <v>0</v>
      </c>
      <c r="Y92" s="175">
        <v>0</v>
      </c>
      <c r="Z92" s="175">
        <v>0</v>
      </c>
      <c r="AA92" s="177">
        <v>0</v>
      </c>
      <c r="AB92" s="175">
        <v>0</v>
      </c>
      <c r="AC92" s="177">
        <v>0</v>
      </c>
      <c r="AD92" s="175">
        <v>0</v>
      </c>
      <c r="AE92" s="177">
        <v>0</v>
      </c>
      <c r="AF92" s="175">
        <v>0</v>
      </c>
      <c r="AG92" s="175">
        <v>0</v>
      </c>
      <c r="AH92" s="177">
        <v>0</v>
      </c>
      <c r="AI92" s="175">
        <v>0</v>
      </c>
      <c r="AJ92" s="177">
        <v>0</v>
      </c>
      <c r="AK92" s="175">
        <v>0</v>
      </c>
      <c r="AL92" s="177">
        <v>0</v>
      </c>
      <c r="AM92" s="175">
        <v>0</v>
      </c>
      <c r="AN92" s="174">
        <f t="shared" si="21"/>
        <v>0</v>
      </c>
      <c r="AO92" s="174">
        <f t="shared" si="22"/>
        <v>0</v>
      </c>
      <c r="AP92" s="174">
        <f t="shared" si="11"/>
        <v>0</v>
      </c>
      <c r="AQ92" s="174">
        <f t="shared" si="12"/>
        <v>0</v>
      </c>
      <c r="AR92" s="174">
        <f t="shared" si="13"/>
        <v>0</v>
      </c>
      <c r="AS92" s="174">
        <f t="shared" si="14"/>
        <v>0</v>
      </c>
      <c r="AT92" s="174">
        <f t="shared" si="15"/>
        <v>0</v>
      </c>
      <c r="AU92" s="174">
        <v>0</v>
      </c>
      <c r="AV92" s="174">
        <v>0</v>
      </c>
      <c r="AW92" s="174">
        <v>0</v>
      </c>
      <c r="AX92" s="174">
        <v>0</v>
      </c>
      <c r="AY92" s="174">
        <v>0</v>
      </c>
      <c r="AZ92" s="174">
        <v>0</v>
      </c>
      <c r="BA92" s="174">
        <v>0</v>
      </c>
      <c r="BB92" s="174">
        <v>0</v>
      </c>
      <c r="BC92" s="174">
        <v>0</v>
      </c>
      <c r="BD92" s="174">
        <v>0</v>
      </c>
      <c r="BE92" s="174">
        <v>0</v>
      </c>
      <c r="BF92" s="174">
        <v>0</v>
      </c>
      <c r="BG92" s="174">
        <v>0</v>
      </c>
      <c r="BH92" s="174">
        <v>0</v>
      </c>
      <c r="BI92" s="174">
        <v>0</v>
      </c>
      <c r="BJ92" s="522">
        <v>0</v>
      </c>
      <c r="BK92" s="522">
        <v>0</v>
      </c>
      <c r="BL92" s="522">
        <v>0</v>
      </c>
      <c r="BM92" s="522">
        <v>0</v>
      </c>
      <c r="BN92" s="522">
        <v>0</v>
      </c>
      <c r="BO92" s="522">
        <v>0</v>
      </c>
      <c r="BP92" s="174">
        <v>0</v>
      </c>
      <c r="BQ92" s="174">
        <v>0</v>
      </c>
      <c r="BR92" s="174">
        <v>0</v>
      </c>
      <c r="BS92" s="174">
        <v>0</v>
      </c>
      <c r="BT92" s="174">
        <v>0</v>
      </c>
      <c r="BU92" s="174">
        <v>0</v>
      </c>
      <c r="BV92" s="174">
        <v>0</v>
      </c>
      <c r="BW92" s="174">
        <f t="shared" si="17"/>
        <v>0</v>
      </c>
      <c r="BX92" s="219">
        <v>0</v>
      </c>
      <c r="BY92" s="173">
        <f t="shared" si="157"/>
        <v>0</v>
      </c>
      <c r="BZ92" s="67"/>
      <c r="CA92" s="136">
        <f>'10'!T70</f>
        <v>0</v>
      </c>
      <c r="CB92" s="60"/>
    </row>
    <row r="93" spans="1:80" s="105" customFormat="1" ht="47.25">
      <c r="A93" s="146" t="s">
        <v>442</v>
      </c>
      <c r="B93" s="144" t="s">
        <v>931</v>
      </c>
      <c r="C93" s="125" t="s">
        <v>876</v>
      </c>
      <c r="D93" s="524">
        <f t="shared" si="156"/>
        <v>0</v>
      </c>
      <c r="E93" s="172">
        <f t="shared" si="149"/>
        <v>0</v>
      </c>
      <c r="F93" s="172">
        <f t="shared" si="150"/>
        <v>0</v>
      </c>
      <c r="G93" s="172">
        <f t="shared" si="151"/>
        <v>0</v>
      </c>
      <c r="H93" s="172">
        <f t="shared" si="152"/>
        <v>0</v>
      </c>
      <c r="I93" s="172">
        <f t="shared" si="153"/>
        <v>0</v>
      </c>
      <c r="J93" s="172">
        <f t="shared" si="154"/>
        <v>0</v>
      </c>
      <c r="K93" s="172">
        <f t="shared" si="155"/>
        <v>0</v>
      </c>
      <c r="L93" s="177">
        <v>0</v>
      </c>
      <c r="M93" s="175">
        <v>0</v>
      </c>
      <c r="N93" s="177">
        <v>0</v>
      </c>
      <c r="O93" s="175">
        <v>0</v>
      </c>
      <c r="P93" s="177">
        <v>0</v>
      </c>
      <c r="Q93" s="175">
        <v>0</v>
      </c>
      <c r="R93" s="177">
        <v>0</v>
      </c>
      <c r="S93" s="175">
        <v>0</v>
      </c>
      <c r="T93" s="177">
        <v>0</v>
      </c>
      <c r="U93" s="175">
        <v>0</v>
      </c>
      <c r="V93" s="177">
        <v>0</v>
      </c>
      <c r="W93" s="175">
        <v>0</v>
      </c>
      <c r="X93" s="177">
        <v>0</v>
      </c>
      <c r="Y93" s="175">
        <v>0</v>
      </c>
      <c r="Z93" s="175">
        <v>0</v>
      </c>
      <c r="AA93" s="177">
        <v>0</v>
      </c>
      <c r="AB93" s="175">
        <v>0</v>
      </c>
      <c r="AC93" s="177">
        <v>0</v>
      </c>
      <c r="AD93" s="175">
        <v>0</v>
      </c>
      <c r="AE93" s="177">
        <v>0</v>
      </c>
      <c r="AF93" s="175">
        <v>0</v>
      </c>
      <c r="AG93" s="175">
        <v>0</v>
      </c>
      <c r="AH93" s="177">
        <v>0</v>
      </c>
      <c r="AI93" s="175">
        <v>0</v>
      </c>
      <c r="AJ93" s="177">
        <v>0</v>
      </c>
      <c r="AK93" s="175">
        <v>0</v>
      </c>
      <c r="AL93" s="177">
        <v>0</v>
      </c>
      <c r="AM93" s="175">
        <v>0</v>
      </c>
      <c r="AN93" s="174">
        <f t="shared" si="21"/>
        <v>0</v>
      </c>
      <c r="AO93" s="174">
        <f t="shared" si="22"/>
        <v>0</v>
      </c>
      <c r="AP93" s="174">
        <f t="shared" si="11"/>
        <v>0</v>
      </c>
      <c r="AQ93" s="174">
        <f t="shared" si="12"/>
        <v>0</v>
      </c>
      <c r="AR93" s="174">
        <f t="shared" si="13"/>
        <v>0</v>
      </c>
      <c r="AS93" s="174">
        <f t="shared" si="14"/>
        <v>0</v>
      </c>
      <c r="AT93" s="174">
        <f t="shared" si="15"/>
        <v>0</v>
      </c>
      <c r="AU93" s="174">
        <v>0</v>
      </c>
      <c r="AV93" s="174">
        <v>0</v>
      </c>
      <c r="AW93" s="174">
        <v>0</v>
      </c>
      <c r="AX93" s="174">
        <v>0</v>
      </c>
      <c r="AY93" s="174">
        <v>0</v>
      </c>
      <c r="AZ93" s="174">
        <v>0</v>
      </c>
      <c r="BA93" s="174">
        <v>0</v>
      </c>
      <c r="BB93" s="174">
        <v>0</v>
      </c>
      <c r="BC93" s="174">
        <v>0</v>
      </c>
      <c r="BD93" s="174">
        <v>0</v>
      </c>
      <c r="BE93" s="174">
        <v>0</v>
      </c>
      <c r="BF93" s="174">
        <v>0</v>
      </c>
      <c r="BG93" s="174">
        <v>0</v>
      </c>
      <c r="BH93" s="174">
        <v>0</v>
      </c>
      <c r="BI93" s="174">
        <v>0</v>
      </c>
      <c r="BJ93" s="522">
        <v>0</v>
      </c>
      <c r="BK93" s="522">
        <v>0</v>
      </c>
      <c r="BL93" s="522">
        <v>0</v>
      </c>
      <c r="BM93" s="522">
        <v>0</v>
      </c>
      <c r="BN93" s="522">
        <v>0</v>
      </c>
      <c r="BO93" s="522">
        <v>0</v>
      </c>
      <c r="BP93" s="174">
        <v>0</v>
      </c>
      <c r="BQ93" s="174">
        <v>0</v>
      </c>
      <c r="BR93" s="174">
        <v>0</v>
      </c>
      <c r="BS93" s="174">
        <v>0</v>
      </c>
      <c r="BT93" s="174">
        <v>0</v>
      </c>
      <c r="BU93" s="174">
        <v>0</v>
      </c>
      <c r="BV93" s="174">
        <v>0</v>
      </c>
      <c r="BW93" s="174">
        <f t="shared" si="17"/>
        <v>0</v>
      </c>
      <c r="BX93" s="219">
        <v>0</v>
      </c>
      <c r="BY93" s="173">
        <f t="shared" si="157"/>
        <v>0</v>
      </c>
      <c r="BZ93" s="67"/>
      <c r="CA93" s="136">
        <f>'10'!T71</f>
        <v>0</v>
      </c>
      <c r="CB93" s="60"/>
    </row>
    <row r="94" spans="1:80" s="105" customFormat="1" ht="63">
      <c r="A94" s="146" t="s">
        <v>443</v>
      </c>
      <c r="B94" s="144" t="s">
        <v>932</v>
      </c>
      <c r="C94" s="125" t="s">
        <v>876</v>
      </c>
      <c r="D94" s="524">
        <f t="shared" si="156"/>
        <v>0</v>
      </c>
      <c r="E94" s="172">
        <f t="shared" si="149"/>
        <v>0</v>
      </c>
      <c r="F94" s="172">
        <f t="shared" si="150"/>
        <v>0</v>
      </c>
      <c r="G94" s="172">
        <f t="shared" si="151"/>
        <v>0</v>
      </c>
      <c r="H94" s="172">
        <f t="shared" si="152"/>
        <v>0</v>
      </c>
      <c r="I94" s="172">
        <f t="shared" si="153"/>
        <v>0</v>
      </c>
      <c r="J94" s="172">
        <f t="shared" si="154"/>
        <v>0</v>
      </c>
      <c r="K94" s="172">
        <f t="shared" si="155"/>
        <v>0</v>
      </c>
      <c r="L94" s="177">
        <v>0</v>
      </c>
      <c r="M94" s="175">
        <v>0</v>
      </c>
      <c r="N94" s="177">
        <v>0</v>
      </c>
      <c r="O94" s="175">
        <v>0</v>
      </c>
      <c r="P94" s="177">
        <v>0</v>
      </c>
      <c r="Q94" s="175">
        <v>0</v>
      </c>
      <c r="R94" s="177">
        <v>0</v>
      </c>
      <c r="S94" s="175">
        <v>0</v>
      </c>
      <c r="T94" s="177">
        <v>0</v>
      </c>
      <c r="U94" s="175">
        <v>0</v>
      </c>
      <c r="V94" s="177">
        <v>0</v>
      </c>
      <c r="W94" s="175">
        <v>0</v>
      </c>
      <c r="X94" s="177">
        <v>0</v>
      </c>
      <c r="Y94" s="175">
        <v>0</v>
      </c>
      <c r="Z94" s="175">
        <v>0</v>
      </c>
      <c r="AA94" s="177">
        <v>0</v>
      </c>
      <c r="AB94" s="175">
        <v>0</v>
      </c>
      <c r="AC94" s="177">
        <v>0</v>
      </c>
      <c r="AD94" s="175">
        <v>0</v>
      </c>
      <c r="AE94" s="177">
        <v>0</v>
      </c>
      <c r="AF94" s="175">
        <v>0</v>
      </c>
      <c r="AG94" s="175">
        <v>0</v>
      </c>
      <c r="AH94" s="177">
        <v>0</v>
      </c>
      <c r="AI94" s="175">
        <v>0</v>
      </c>
      <c r="AJ94" s="177">
        <v>0</v>
      </c>
      <c r="AK94" s="175">
        <v>0</v>
      </c>
      <c r="AL94" s="177">
        <v>0</v>
      </c>
      <c r="AM94" s="175">
        <v>0</v>
      </c>
      <c r="AN94" s="174">
        <f t="shared" si="21"/>
        <v>0</v>
      </c>
      <c r="AO94" s="174">
        <f t="shared" si="22"/>
        <v>0</v>
      </c>
      <c r="AP94" s="174">
        <f t="shared" si="11"/>
        <v>0</v>
      </c>
      <c r="AQ94" s="174">
        <f t="shared" si="12"/>
        <v>0</v>
      </c>
      <c r="AR94" s="174">
        <f t="shared" si="13"/>
        <v>0</v>
      </c>
      <c r="AS94" s="174">
        <f t="shared" si="14"/>
        <v>0</v>
      </c>
      <c r="AT94" s="174">
        <f t="shared" si="15"/>
        <v>0</v>
      </c>
      <c r="AU94" s="174">
        <v>0</v>
      </c>
      <c r="AV94" s="174">
        <v>0</v>
      </c>
      <c r="AW94" s="174">
        <v>0</v>
      </c>
      <c r="AX94" s="174">
        <v>0</v>
      </c>
      <c r="AY94" s="174">
        <v>0</v>
      </c>
      <c r="AZ94" s="174">
        <v>0</v>
      </c>
      <c r="BA94" s="174">
        <v>0</v>
      </c>
      <c r="BB94" s="174">
        <v>0</v>
      </c>
      <c r="BC94" s="174">
        <v>0</v>
      </c>
      <c r="BD94" s="174">
        <v>0</v>
      </c>
      <c r="BE94" s="174">
        <v>0</v>
      </c>
      <c r="BF94" s="174">
        <v>0</v>
      </c>
      <c r="BG94" s="174">
        <v>0</v>
      </c>
      <c r="BH94" s="174">
        <v>0</v>
      </c>
      <c r="BI94" s="174">
        <v>0</v>
      </c>
      <c r="BJ94" s="522">
        <v>0</v>
      </c>
      <c r="BK94" s="522">
        <v>0</v>
      </c>
      <c r="BL94" s="522">
        <v>0</v>
      </c>
      <c r="BM94" s="522">
        <v>0</v>
      </c>
      <c r="BN94" s="522">
        <v>0</v>
      </c>
      <c r="BO94" s="522">
        <v>0</v>
      </c>
      <c r="BP94" s="174">
        <v>0</v>
      </c>
      <c r="BQ94" s="174">
        <v>0</v>
      </c>
      <c r="BR94" s="174">
        <v>0</v>
      </c>
      <c r="BS94" s="174">
        <v>0</v>
      </c>
      <c r="BT94" s="174">
        <v>0</v>
      </c>
      <c r="BU94" s="174">
        <v>0</v>
      </c>
      <c r="BV94" s="174">
        <v>0</v>
      </c>
      <c r="BW94" s="174">
        <f t="shared" si="17"/>
        <v>0</v>
      </c>
      <c r="BX94" s="219">
        <v>0</v>
      </c>
      <c r="BY94" s="173">
        <f t="shared" si="157"/>
        <v>0</v>
      </c>
      <c r="BZ94" s="67"/>
      <c r="CA94" s="136">
        <f>'10'!T72</f>
        <v>0</v>
      </c>
      <c r="CB94" s="60"/>
    </row>
    <row r="95" spans="1:80" s="105" customFormat="1" ht="63">
      <c r="A95" s="146" t="s">
        <v>444</v>
      </c>
      <c r="B95" s="144" t="s">
        <v>933</v>
      </c>
      <c r="C95" s="125" t="s">
        <v>876</v>
      </c>
      <c r="D95" s="524">
        <f t="shared" si="156"/>
        <v>0</v>
      </c>
      <c r="E95" s="172">
        <f t="shared" si="149"/>
        <v>0</v>
      </c>
      <c r="F95" s="172">
        <f t="shared" si="150"/>
        <v>0</v>
      </c>
      <c r="G95" s="172">
        <f t="shared" si="151"/>
        <v>0</v>
      </c>
      <c r="H95" s="172">
        <f t="shared" si="152"/>
        <v>0</v>
      </c>
      <c r="I95" s="172">
        <f t="shared" si="153"/>
        <v>0</v>
      </c>
      <c r="J95" s="172">
        <f t="shared" si="154"/>
        <v>0</v>
      </c>
      <c r="K95" s="172">
        <f t="shared" si="155"/>
        <v>0</v>
      </c>
      <c r="L95" s="177">
        <v>0</v>
      </c>
      <c r="M95" s="175">
        <v>0</v>
      </c>
      <c r="N95" s="177">
        <v>0</v>
      </c>
      <c r="O95" s="175">
        <v>0</v>
      </c>
      <c r="P95" s="177">
        <v>0</v>
      </c>
      <c r="Q95" s="175">
        <v>0</v>
      </c>
      <c r="R95" s="177">
        <v>0</v>
      </c>
      <c r="S95" s="175">
        <v>0</v>
      </c>
      <c r="T95" s="177">
        <v>0</v>
      </c>
      <c r="U95" s="175">
        <v>0</v>
      </c>
      <c r="V95" s="177">
        <v>0</v>
      </c>
      <c r="W95" s="175">
        <v>0</v>
      </c>
      <c r="X95" s="177">
        <v>0</v>
      </c>
      <c r="Y95" s="175">
        <v>0</v>
      </c>
      <c r="Z95" s="175">
        <v>0</v>
      </c>
      <c r="AA95" s="177">
        <v>0</v>
      </c>
      <c r="AB95" s="175">
        <v>0</v>
      </c>
      <c r="AC95" s="177">
        <v>0</v>
      </c>
      <c r="AD95" s="175">
        <v>0</v>
      </c>
      <c r="AE95" s="177">
        <v>0</v>
      </c>
      <c r="AF95" s="175">
        <v>0</v>
      </c>
      <c r="AG95" s="175">
        <v>0</v>
      </c>
      <c r="AH95" s="177">
        <v>0</v>
      </c>
      <c r="AI95" s="175">
        <v>0</v>
      </c>
      <c r="AJ95" s="177">
        <v>0</v>
      </c>
      <c r="AK95" s="175">
        <v>0</v>
      </c>
      <c r="AL95" s="177">
        <v>0</v>
      </c>
      <c r="AM95" s="175">
        <v>0</v>
      </c>
      <c r="AN95" s="174">
        <f t="shared" si="21"/>
        <v>0</v>
      </c>
      <c r="AO95" s="174">
        <f t="shared" si="22"/>
        <v>0</v>
      </c>
      <c r="AP95" s="174">
        <f t="shared" si="11"/>
        <v>0</v>
      </c>
      <c r="AQ95" s="174">
        <f t="shared" si="12"/>
        <v>0</v>
      </c>
      <c r="AR95" s="174">
        <f t="shared" si="13"/>
        <v>0</v>
      </c>
      <c r="AS95" s="174">
        <f t="shared" si="14"/>
        <v>0</v>
      </c>
      <c r="AT95" s="174">
        <f t="shared" si="15"/>
        <v>0</v>
      </c>
      <c r="AU95" s="174">
        <v>0</v>
      </c>
      <c r="AV95" s="174">
        <v>0</v>
      </c>
      <c r="AW95" s="174">
        <v>0</v>
      </c>
      <c r="AX95" s="174">
        <v>0</v>
      </c>
      <c r="AY95" s="174">
        <v>0</v>
      </c>
      <c r="AZ95" s="174">
        <v>0</v>
      </c>
      <c r="BA95" s="174">
        <v>0</v>
      </c>
      <c r="BB95" s="174">
        <v>0</v>
      </c>
      <c r="BC95" s="174">
        <v>0</v>
      </c>
      <c r="BD95" s="174">
        <v>0</v>
      </c>
      <c r="BE95" s="174">
        <v>0</v>
      </c>
      <c r="BF95" s="174">
        <v>0</v>
      </c>
      <c r="BG95" s="174">
        <v>0</v>
      </c>
      <c r="BH95" s="174">
        <v>0</v>
      </c>
      <c r="BI95" s="174">
        <v>0</v>
      </c>
      <c r="BJ95" s="522">
        <v>0</v>
      </c>
      <c r="BK95" s="522">
        <v>0</v>
      </c>
      <c r="BL95" s="522">
        <v>0</v>
      </c>
      <c r="BM95" s="522">
        <v>0</v>
      </c>
      <c r="BN95" s="522">
        <v>0</v>
      </c>
      <c r="BO95" s="522">
        <v>0</v>
      </c>
      <c r="BP95" s="174">
        <v>0</v>
      </c>
      <c r="BQ95" s="174">
        <v>0</v>
      </c>
      <c r="BR95" s="174">
        <v>0</v>
      </c>
      <c r="BS95" s="174">
        <v>0</v>
      </c>
      <c r="BT95" s="174">
        <v>0</v>
      </c>
      <c r="BU95" s="174">
        <v>0</v>
      </c>
      <c r="BV95" s="174">
        <v>0</v>
      </c>
      <c r="BW95" s="174">
        <f t="shared" si="17"/>
        <v>0</v>
      </c>
      <c r="BX95" s="219">
        <v>0</v>
      </c>
      <c r="BY95" s="173">
        <f t="shared" si="157"/>
        <v>0</v>
      </c>
      <c r="BZ95" s="67"/>
      <c r="CA95" s="136">
        <f>'10'!T73</f>
        <v>0</v>
      </c>
      <c r="CB95" s="60"/>
    </row>
    <row r="96" spans="1:80" s="105" customFormat="1" ht="47.25">
      <c r="A96" s="146" t="s">
        <v>445</v>
      </c>
      <c r="B96" s="144" t="s">
        <v>934</v>
      </c>
      <c r="C96" s="125" t="s">
        <v>876</v>
      </c>
      <c r="D96" s="524">
        <f t="shared" si="156"/>
        <v>0</v>
      </c>
      <c r="E96" s="172">
        <f t="shared" si="149"/>
        <v>0</v>
      </c>
      <c r="F96" s="172">
        <f t="shared" si="150"/>
        <v>0</v>
      </c>
      <c r="G96" s="172">
        <f t="shared" si="151"/>
        <v>0</v>
      </c>
      <c r="H96" s="172">
        <f t="shared" si="152"/>
        <v>0</v>
      </c>
      <c r="I96" s="172">
        <f t="shared" si="153"/>
        <v>0</v>
      </c>
      <c r="J96" s="172">
        <f t="shared" si="154"/>
        <v>0</v>
      </c>
      <c r="K96" s="172">
        <f t="shared" si="155"/>
        <v>0</v>
      </c>
      <c r="L96" s="177">
        <v>0</v>
      </c>
      <c r="M96" s="175">
        <v>0</v>
      </c>
      <c r="N96" s="177">
        <v>0</v>
      </c>
      <c r="O96" s="175">
        <v>0</v>
      </c>
      <c r="P96" s="177">
        <v>0</v>
      </c>
      <c r="Q96" s="175">
        <v>0</v>
      </c>
      <c r="R96" s="177">
        <v>0</v>
      </c>
      <c r="S96" s="175">
        <v>0</v>
      </c>
      <c r="T96" s="177">
        <v>0</v>
      </c>
      <c r="U96" s="175">
        <v>0</v>
      </c>
      <c r="V96" s="177">
        <v>0</v>
      </c>
      <c r="W96" s="175">
        <v>0</v>
      </c>
      <c r="X96" s="177">
        <v>0</v>
      </c>
      <c r="Y96" s="175">
        <v>0</v>
      </c>
      <c r="Z96" s="175">
        <v>0</v>
      </c>
      <c r="AA96" s="177">
        <v>0</v>
      </c>
      <c r="AB96" s="175">
        <v>0</v>
      </c>
      <c r="AC96" s="177">
        <v>0</v>
      </c>
      <c r="AD96" s="175">
        <v>0</v>
      </c>
      <c r="AE96" s="177">
        <v>0</v>
      </c>
      <c r="AF96" s="175">
        <v>0</v>
      </c>
      <c r="AG96" s="175">
        <v>0</v>
      </c>
      <c r="AH96" s="177">
        <v>0</v>
      </c>
      <c r="AI96" s="175">
        <v>0</v>
      </c>
      <c r="AJ96" s="177">
        <v>0</v>
      </c>
      <c r="AK96" s="175">
        <v>0</v>
      </c>
      <c r="AL96" s="177">
        <v>0</v>
      </c>
      <c r="AM96" s="175">
        <v>0</v>
      </c>
      <c r="AN96" s="174">
        <f t="shared" si="21"/>
        <v>0</v>
      </c>
      <c r="AO96" s="174">
        <f t="shared" si="22"/>
        <v>0</v>
      </c>
      <c r="AP96" s="174">
        <f t="shared" si="11"/>
        <v>0</v>
      </c>
      <c r="AQ96" s="174">
        <f t="shared" si="12"/>
        <v>0</v>
      </c>
      <c r="AR96" s="174">
        <f t="shared" si="13"/>
        <v>0</v>
      </c>
      <c r="AS96" s="174">
        <f t="shared" si="14"/>
        <v>0</v>
      </c>
      <c r="AT96" s="174">
        <f t="shared" si="15"/>
        <v>0</v>
      </c>
      <c r="AU96" s="174">
        <v>0</v>
      </c>
      <c r="AV96" s="174">
        <v>0</v>
      </c>
      <c r="AW96" s="174">
        <v>0</v>
      </c>
      <c r="AX96" s="174">
        <v>0</v>
      </c>
      <c r="AY96" s="174">
        <v>0</v>
      </c>
      <c r="AZ96" s="174">
        <v>0</v>
      </c>
      <c r="BA96" s="174">
        <v>0</v>
      </c>
      <c r="BB96" s="174">
        <v>0</v>
      </c>
      <c r="BC96" s="174">
        <v>0</v>
      </c>
      <c r="BD96" s="174">
        <v>0</v>
      </c>
      <c r="BE96" s="174">
        <v>0</v>
      </c>
      <c r="BF96" s="174">
        <v>0</v>
      </c>
      <c r="BG96" s="174">
        <v>0</v>
      </c>
      <c r="BH96" s="174">
        <v>0</v>
      </c>
      <c r="BI96" s="174">
        <v>0</v>
      </c>
      <c r="BJ96" s="522">
        <v>0</v>
      </c>
      <c r="BK96" s="522">
        <v>0</v>
      </c>
      <c r="BL96" s="522">
        <v>0</v>
      </c>
      <c r="BM96" s="522">
        <v>0</v>
      </c>
      <c r="BN96" s="522">
        <v>0</v>
      </c>
      <c r="BO96" s="522">
        <v>0</v>
      </c>
      <c r="BP96" s="174">
        <v>0</v>
      </c>
      <c r="BQ96" s="174">
        <v>0</v>
      </c>
      <c r="BR96" s="174">
        <v>0</v>
      </c>
      <c r="BS96" s="174">
        <v>0</v>
      </c>
      <c r="BT96" s="174">
        <v>0</v>
      </c>
      <c r="BU96" s="174">
        <v>0</v>
      </c>
      <c r="BV96" s="174">
        <v>0</v>
      </c>
      <c r="BW96" s="174">
        <f t="shared" si="17"/>
        <v>0</v>
      </c>
      <c r="BX96" s="219">
        <v>0</v>
      </c>
      <c r="BY96" s="173">
        <f t="shared" si="157"/>
        <v>0</v>
      </c>
      <c r="BZ96" s="67"/>
      <c r="CA96" s="136">
        <f>'10'!T74</f>
        <v>0</v>
      </c>
      <c r="CB96" s="60"/>
    </row>
    <row r="97" spans="1:80" s="105" customFormat="1" ht="63">
      <c r="A97" s="146" t="s">
        <v>935</v>
      </c>
      <c r="B97" s="144" t="s">
        <v>936</v>
      </c>
      <c r="C97" s="125" t="s">
        <v>876</v>
      </c>
      <c r="D97" s="524">
        <f t="shared" si="156"/>
        <v>0</v>
      </c>
      <c r="E97" s="172">
        <f t="shared" si="149"/>
        <v>0</v>
      </c>
      <c r="F97" s="172">
        <f t="shared" si="150"/>
        <v>0</v>
      </c>
      <c r="G97" s="172">
        <f t="shared" si="151"/>
        <v>0</v>
      </c>
      <c r="H97" s="172">
        <f t="shared" si="152"/>
        <v>0</v>
      </c>
      <c r="I97" s="172">
        <f t="shared" si="153"/>
        <v>0</v>
      </c>
      <c r="J97" s="172">
        <f t="shared" si="154"/>
        <v>0</v>
      </c>
      <c r="K97" s="172">
        <f t="shared" si="155"/>
        <v>0</v>
      </c>
      <c r="L97" s="177">
        <v>0</v>
      </c>
      <c r="M97" s="175">
        <v>0</v>
      </c>
      <c r="N97" s="177">
        <v>0</v>
      </c>
      <c r="O97" s="175">
        <v>0</v>
      </c>
      <c r="P97" s="177">
        <v>0</v>
      </c>
      <c r="Q97" s="175">
        <v>0</v>
      </c>
      <c r="R97" s="177">
        <v>0</v>
      </c>
      <c r="S97" s="175">
        <v>0</v>
      </c>
      <c r="T97" s="177">
        <v>0</v>
      </c>
      <c r="U97" s="175">
        <v>0</v>
      </c>
      <c r="V97" s="177">
        <v>0</v>
      </c>
      <c r="W97" s="175">
        <v>0</v>
      </c>
      <c r="X97" s="177">
        <v>0</v>
      </c>
      <c r="Y97" s="175">
        <v>0</v>
      </c>
      <c r="Z97" s="175">
        <v>0</v>
      </c>
      <c r="AA97" s="177">
        <v>0</v>
      </c>
      <c r="AB97" s="175">
        <v>0</v>
      </c>
      <c r="AC97" s="177">
        <v>0</v>
      </c>
      <c r="AD97" s="175">
        <v>0</v>
      </c>
      <c r="AE97" s="177">
        <v>0</v>
      </c>
      <c r="AF97" s="175">
        <v>0</v>
      </c>
      <c r="AG97" s="175">
        <v>0</v>
      </c>
      <c r="AH97" s="177">
        <v>0</v>
      </c>
      <c r="AI97" s="175">
        <v>0</v>
      </c>
      <c r="AJ97" s="177">
        <v>0</v>
      </c>
      <c r="AK97" s="175">
        <v>0</v>
      </c>
      <c r="AL97" s="177">
        <v>0</v>
      </c>
      <c r="AM97" s="175">
        <v>0</v>
      </c>
      <c r="AN97" s="174">
        <f t="shared" si="21"/>
        <v>0</v>
      </c>
      <c r="AO97" s="174">
        <f t="shared" si="22"/>
        <v>0</v>
      </c>
      <c r="AP97" s="174">
        <f t="shared" si="11"/>
        <v>0</v>
      </c>
      <c r="AQ97" s="174">
        <f t="shared" si="12"/>
        <v>0</v>
      </c>
      <c r="AR97" s="174">
        <f t="shared" si="13"/>
        <v>0</v>
      </c>
      <c r="AS97" s="174">
        <f t="shared" si="14"/>
        <v>0</v>
      </c>
      <c r="AT97" s="174">
        <f t="shared" si="15"/>
        <v>0</v>
      </c>
      <c r="AU97" s="174">
        <v>0</v>
      </c>
      <c r="AV97" s="174">
        <v>0</v>
      </c>
      <c r="AW97" s="174">
        <v>0</v>
      </c>
      <c r="AX97" s="174">
        <v>0</v>
      </c>
      <c r="AY97" s="174">
        <v>0</v>
      </c>
      <c r="AZ97" s="174">
        <v>0</v>
      </c>
      <c r="BA97" s="174">
        <v>0</v>
      </c>
      <c r="BB97" s="174">
        <v>0</v>
      </c>
      <c r="BC97" s="174">
        <v>0</v>
      </c>
      <c r="BD97" s="174">
        <v>0</v>
      </c>
      <c r="BE97" s="174">
        <v>0</v>
      </c>
      <c r="BF97" s="174">
        <v>0</v>
      </c>
      <c r="BG97" s="174">
        <v>0</v>
      </c>
      <c r="BH97" s="174">
        <v>0</v>
      </c>
      <c r="BI97" s="174">
        <v>0</v>
      </c>
      <c r="BJ97" s="522">
        <v>0</v>
      </c>
      <c r="BK97" s="522">
        <v>0</v>
      </c>
      <c r="BL97" s="522">
        <v>0</v>
      </c>
      <c r="BM97" s="522">
        <v>0</v>
      </c>
      <c r="BN97" s="522">
        <v>0</v>
      </c>
      <c r="BO97" s="522">
        <v>0</v>
      </c>
      <c r="BP97" s="174">
        <v>0</v>
      </c>
      <c r="BQ97" s="174">
        <v>0</v>
      </c>
      <c r="BR97" s="174">
        <v>0</v>
      </c>
      <c r="BS97" s="174">
        <v>0</v>
      </c>
      <c r="BT97" s="174">
        <v>0</v>
      </c>
      <c r="BU97" s="174">
        <v>0</v>
      </c>
      <c r="BV97" s="174">
        <v>0</v>
      </c>
      <c r="BW97" s="174">
        <f t="shared" si="17"/>
        <v>0</v>
      </c>
      <c r="BX97" s="219">
        <v>0</v>
      </c>
      <c r="BY97" s="173">
        <f t="shared" si="157"/>
        <v>0</v>
      </c>
      <c r="BZ97" s="67"/>
      <c r="CA97" s="136">
        <f>'10'!T75</f>
        <v>0</v>
      </c>
      <c r="CB97" s="60"/>
    </row>
    <row r="98" spans="1:80" s="105" customFormat="1" ht="63">
      <c r="A98" s="118" t="s">
        <v>937</v>
      </c>
      <c r="B98" s="144" t="s">
        <v>938</v>
      </c>
      <c r="C98" s="125" t="s">
        <v>876</v>
      </c>
      <c r="D98" s="524">
        <f t="shared" si="156"/>
        <v>0</v>
      </c>
      <c r="E98" s="172">
        <f t="shared" si="149"/>
        <v>0</v>
      </c>
      <c r="F98" s="172">
        <f t="shared" si="150"/>
        <v>0</v>
      </c>
      <c r="G98" s="172">
        <f t="shared" si="151"/>
        <v>0</v>
      </c>
      <c r="H98" s="172">
        <f t="shared" si="152"/>
        <v>0</v>
      </c>
      <c r="I98" s="172">
        <f t="shared" si="153"/>
        <v>0</v>
      </c>
      <c r="J98" s="172">
        <f t="shared" si="154"/>
        <v>0</v>
      </c>
      <c r="K98" s="172">
        <f t="shared" si="155"/>
        <v>0</v>
      </c>
      <c r="L98" s="172">
        <v>0</v>
      </c>
      <c r="M98" s="172">
        <v>0</v>
      </c>
      <c r="N98" s="172">
        <v>0</v>
      </c>
      <c r="O98" s="172">
        <v>0</v>
      </c>
      <c r="P98" s="172">
        <v>0</v>
      </c>
      <c r="Q98" s="172">
        <v>0</v>
      </c>
      <c r="R98" s="172">
        <v>0</v>
      </c>
      <c r="S98" s="172">
        <v>0</v>
      </c>
      <c r="T98" s="172">
        <v>0</v>
      </c>
      <c r="U98" s="172">
        <v>0</v>
      </c>
      <c r="V98" s="172">
        <v>0</v>
      </c>
      <c r="W98" s="172">
        <v>0</v>
      </c>
      <c r="X98" s="172">
        <v>0</v>
      </c>
      <c r="Y98" s="172">
        <v>0</v>
      </c>
      <c r="Z98" s="172">
        <v>0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  <c r="AG98" s="172">
        <v>0</v>
      </c>
      <c r="AH98" s="172">
        <v>0</v>
      </c>
      <c r="AI98" s="172">
        <v>0</v>
      </c>
      <c r="AJ98" s="172">
        <v>0</v>
      </c>
      <c r="AK98" s="172">
        <v>0</v>
      </c>
      <c r="AL98" s="172">
        <v>0</v>
      </c>
      <c r="AM98" s="172">
        <v>0</v>
      </c>
      <c r="AN98" s="174">
        <f t="shared" si="21"/>
        <v>0</v>
      </c>
      <c r="AO98" s="174">
        <f t="shared" si="22"/>
        <v>0</v>
      </c>
      <c r="AP98" s="174">
        <f t="shared" si="11"/>
        <v>0</v>
      </c>
      <c r="AQ98" s="174">
        <f t="shared" si="12"/>
        <v>0</v>
      </c>
      <c r="AR98" s="174">
        <f t="shared" si="13"/>
        <v>0</v>
      </c>
      <c r="AS98" s="174">
        <f t="shared" si="14"/>
        <v>0</v>
      </c>
      <c r="AT98" s="174">
        <f t="shared" si="15"/>
        <v>0</v>
      </c>
      <c r="AU98" s="174">
        <f t="shared" ref="AU98:BV98" si="158">AU99+AU100</f>
        <v>0</v>
      </c>
      <c r="AV98" s="174">
        <f t="shared" si="158"/>
        <v>0</v>
      </c>
      <c r="AW98" s="174">
        <f t="shared" si="158"/>
        <v>0</v>
      </c>
      <c r="AX98" s="174">
        <f t="shared" si="158"/>
        <v>0</v>
      </c>
      <c r="AY98" s="174">
        <f t="shared" si="158"/>
        <v>0</v>
      </c>
      <c r="AZ98" s="174">
        <f t="shared" si="158"/>
        <v>0</v>
      </c>
      <c r="BA98" s="174">
        <f t="shared" si="158"/>
        <v>0</v>
      </c>
      <c r="BB98" s="174">
        <f t="shared" si="158"/>
        <v>0</v>
      </c>
      <c r="BC98" s="174">
        <f t="shared" si="158"/>
        <v>0</v>
      </c>
      <c r="BD98" s="174">
        <f t="shared" si="158"/>
        <v>0</v>
      </c>
      <c r="BE98" s="174">
        <f t="shared" si="158"/>
        <v>0</v>
      </c>
      <c r="BF98" s="174">
        <f t="shared" si="158"/>
        <v>0</v>
      </c>
      <c r="BG98" s="174">
        <f t="shared" si="158"/>
        <v>0</v>
      </c>
      <c r="BH98" s="174">
        <f t="shared" si="158"/>
        <v>0</v>
      </c>
      <c r="BI98" s="174">
        <f t="shared" si="158"/>
        <v>0</v>
      </c>
      <c r="BJ98" s="522">
        <f t="shared" si="158"/>
        <v>0</v>
      </c>
      <c r="BK98" s="522">
        <f t="shared" si="158"/>
        <v>0</v>
      </c>
      <c r="BL98" s="522">
        <f t="shared" si="158"/>
        <v>0</v>
      </c>
      <c r="BM98" s="522">
        <f t="shared" si="158"/>
        <v>0</v>
      </c>
      <c r="BN98" s="522">
        <f t="shared" si="158"/>
        <v>0</v>
      </c>
      <c r="BO98" s="522">
        <f t="shared" si="158"/>
        <v>0</v>
      </c>
      <c r="BP98" s="174">
        <f t="shared" si="158"/>
        <v>0</v>
      </c>
      <c r="BQ98" s="174">
        <f t="shared" si="158"/>
        <v>0</v>
      </c>
      <c r="BR98" s="174">
        <f t="shared" si="158"/>
        <v>0</v>
      </c>
      <c r="BS98" s="174">
        <f t="shared" si="158"/>
        <v>0</v>
      </c>
      <c r="BT98" s="174">
        <f t="shared" si="158"/>
        <v>0</v>
      </c>
      <c r="BU98" s="174">
        <f t="shared" si="158"/>
        <v>0</v>
      </c>
      <c r="BV98" s="174">
        <f t="shared" si="158"/>
        <v>0</v>
      </c>
      <c r="BW98" s="174">
        <f t="shared" si="17"/>
        <v>0</v>
      </c>
      <c r="BX98" s="219">
        <v>0</v>
      </c>
      <c r="BY98" s="173">
        <f t="shared" si="157"/>
        <v>0</v>
      </c>
      <c r="BZ98" s="67"/>
      <c r="CA98" s="136">
        <f>'10'!T76</f>
        <v>0</v>
      </c>
      <c r="CB98" s="60"/>
    </row>
    <row r="99" spans="1:80" s="105" customFormat="1" ht="31.5">
      <c r="A99" s="146" t="s">
        <v>939</v>
      </c>
      <c r="B99" s="144" t="s">
        <v>940</v>
      </c>
      <c r="C99" s="138" t="s">
        <v>876</v>
      </c>
      <c r="D99" s="524">
        <f t="shared" si="156"/>
        <v>0</v>
      </c>
      <c r="E99" s="172">
        <f t="shared" si="149"/>
        <v>0</v>
      </c>
      <c r="F99" s="172">
        <f t="shared" si="150"/>
        <v>0</v>
      </c>
      <c r="G99" s="172">
        <f t="shared" si="151"/>
        <v>0</v>
      </c>
      <c r="H99" s="172">
        <f t="shared" si="152"/>
        <v>0</v>
      </c>
      <c r="I99" s="172">
        <f t="shared" si="153"/>
        <v>0</v>
      </c>
      <c r="J99" s="172">
        <f t="shared" si="154"/>
        <v>0</v>
      </c>
      <c r="K99" s="172">
        <f t="shared" si="155"/>
        <v>0</v>
      </c>
      <c r="L99" s="172">
        <v>0</v>
      </c>
      <c r="M99" s="172">
        <v>0</v>
      </c>
      <c r="N99" s="172">
        <v>0</v>
      </c>
      <c r="O99" s="172">
        <v>0</v>
      </c>
      <c r="P99" s="172">
        <v>0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  <c r="W99" s="172">
        <v>0</v>
      </c>
      <c r="X99" s="172">
        <v>0</v>
      </c>
      <c r="Y99" s="172">
        <v>0</v>
      </c>
      <c r="Z99" s="172">
        <v>0</v>
      </c>
      <c r="AA99" s="172">
        <v>0</v>
      </c>
      <c r="AB99" s="172">
        <v>0</v>
      </c>
      <c r="AC99" s="172">
        <v>0</v>
      </c>
      <c r="AD99" s="172">
        <v>0</v>
      </c>
      <c r="AE99" s="172">
        <v>0</v>
      </c>
      <c r="AF99" s="172">
        <v>0</v>
      </c>
      <c r="AG99" s="172">
        <v>0</v>
      </c>
      <c r="AH99" s="172">
        <v>0</v>
      </c>
      <c r="AI99" s="172">
        <v>0</v>
      </c>
      <c r="AJ99" s="172">
        <v>0</v>
      </c>
      <c r="AK99" s="172">
        <v>0</v>
      </c>
      <c r="AL99" s="172">
        <v>0</v>
      </c>
      <c r="AM99" s="172">
        <v>0</v>
      </c>
      <c r="AN99" s="172">
        <v>0</v>
      </c>
      <c r="AO99" s="172">
        <v>0</v>
      </c>
      <c r="AP99" s="172">
        <v>0</v>
      </c>
      <c r="AQ99" s="172">
        <v>0</v>
      </c>
      <c r="AR99" s="172">
        <v>0</v>
      </c>
      <c r="AS99" s="172">
        <v>0</v>
      </c>
      <c r="AT99" s="172">
        <v>0</v>
      </c>
      <c r="AU99" s="172">
        <v>0</v>
      </c>
      <c r="AV99" s="172">
        <v>0</v>
      </c>
      <c r="AW99" s="172">
        <v>0</v>
      </c>
      <c r="AX99" s="172">
        <v>0</v>
      </c>
      <c r="AY99" s="172">
        <v>0</v>
      </c>
      <c r="AZ99" s="172">
        <v>0</v>
      </c>
      <c r="BA99" s="172">
        <v>0</v>
      </c>
      <c r="BB99" s="172">
        <v>0</v>
      </c>
      <c r="BC99" s="172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2">
        <v>0</v>
      </c>
      <c r="BJ99" s="524">
        <v>0</v>
      </c>
      <c r="BK99" s="524">
        <v>0</v>
      </c>
      <c r="BL99" s="524">
        <v>0</v>
      </c>
      <c r="BM99" s="524">
        <v>0</v>
      </c>
      <c r="BN99" s="524">
        <v>0</v>
      </c>
      <c r="BO99" s="524">
        <v>0</v>
      </c>
      <c r="BP99" s="172">
        <v>0</v>
      </c>
      <c r="BQ99" s="172">
        <v>0</v>
      </c>
      <c r="BR99" s="172">
        <v>0</v>
      </c>
      <c r="BS99" s="172">
        <v>0</v>
      </c>
      <c r="BT99" s="172">
        <v>0</v>
      </c>
      <c r="BU99" s="172">
        <v>0</v>
      </c>
      <c r="BV99" s="172">
        <v>0</v>
      </c>
      <c r="BW99" s="172">
        <v>0</v>
      </c>
      <c r="BX99" s="219">
        <v>0</v>
      </c>
      <c r="BY99" s="173">
        <f t="shared" si="157"/>
        <v>0</v>
      </c>
      <c r="BZ99" s="67"/>
      <c r="CA99" s="136">
        <f>'10'!T77</f>
        <v>0</v>
      </c>
      <c r="CB99" s="60"/>
    </row>
    <row r="100" spans="1:80" s="105" customFormat="1" ht="47.25">
      <c r="A100" s="146" t="s">
        <v>941</v>
      </c>
      <c r="B100" s="144" t="s">
        <v>942</v>
      </c>
      <c r="C100" s="125" t="s">
        <v>876</v>
      </c>
      <c r="D100" s="524">
        <f t="shared" si="156"/>
        <v>0</v>
      </c>
      <c r="E100" s="172">
        <f t="shared" si="149"/>
        <v>0</v>
      </c>
      <c r="F100" s="172">
        <f t="shared" si="150"/>
        <v>0</v>
      </c>
      <c r="G100" s="172">
        <f t="shared" si="151"/>
        <v>0</v>
      </c>
      <c r="H100" s="172">
        <f t="shared" si="152"/>
        <v>0</v>
      </c>
      <c r="I100" s="172">
        <f t="shared" si="153"/>
        <v>0</v>
      </c>
      <c r="J100" s="172">
        <f t="shared" si="154"/>
        <v>0</v>
      </c>
      <c r="K100" s="172">
        <f t="shared" si="155"/>
        <v>0</v>
      </c>
      <c r="L100" s="177">
        <v>0</v>
      </c>
      <c r="M100" s="175">
        <v>0</v>
      </c>
      <c r="N100" s="177">
        <v>0</v>
      </c>
      <c r="O100" s="175">
        <v>0</v>
      </c>
      <c r="P100" s="177">
        <v>0</v>
      </c>
      <c r="Q100" s="175">
        <v>0</v>
      </c>
      <c r="R100" s="177">
        <v>0</v>
      </c>
      <c r="S100" s="175">
        <v>0</v>
      </c>
      <c r="T100" s="177">
        <v>0</v>
      </c>
      <c r="U100" s="175">
        <v>0</v>
      </c>
      <c r="V100" s="177">
        <v>0</v>
      </c>
      <c r="W100" s="175">
        <v>0</v>
      </c>
      <c r="X100" s="177">
        <v>0</v>
      </c>
      <c r="Y100" s="175">
        <v>0</v>
      </c>
      <c r="Z100" s="175">
        <v>0</v>
      </c>
      <c r="AA100" s="177">
        <v>0</v>
      </c>
      <c r="AB100" s="175">
        <v>0</v>
      </c>
      <c r="AC100" s="177">
        <v>0</v>
      </c>
      <c r="AD100" s="175">
        <v>0</v>
      </c>
      <c r="AE100" s="177">
        <v>0</v>
      </c>
      <c r="AF100" s="175">
        <v>0</v>
      </c>
      <c r="AG100" s="175">
        <v>0</v>
      </c>
      <c r="AH100" s="177">
        <v>0</v>
      </c>
      <c r="AI100" s="175">
        <v>0</v>
      </c>
      <c r="AJ100" s="177">
        <v>0</v>
      </c>
      <c r="AK100" s="175">
        <v>0</v>
      </c>
      <c r="AL100" s="177">
        <v>0</v>
      </c>
      <c r="AM100" s="175">
        <v>0</v>
      </c>
      <c r="AN100" s="174">
        <f t="shared" si="21"/>
        <v>0</v>
      </c>
      <c r="AO100" s="174">
        <f t="shared" si="22"/>
        <v>0</v>
      </c>
      <c r="AP100" s="174">
        <f t="shared" si="11"/>
        <v>0</v>
      </c>
      <c r="AQ100" s="174">
        <f t="shared" si="12"/>
        <v>0</v>
      </c>
      <c r="AR100" s="174">
        <f t="shared" si="13"/>
        <v>0</v>
      </c>
      <c r="AS100" s="174">
        <f t="shared" si="14"/>
        <v>0</v>
      </c>
      <c r="AT100" s="174">
        <f t="shared" si="15"/>
        <v>0</v>
      </c>
      <c r="AU100" s="174">
        <v>0</v>
      </c>
      <c r="AV100" s="174">
        <v>0</v>
      </c>
      <c r="AW100" s="174">
        <v>0</v>
      </c>
      <c r="AX100" s="174">
        <v>0</v>
      </c>
      <c r="AY100" s="174">
        <v>0</v>
      </c>
      <c r="AZ100" s="174">
        <v>0</v>
      </c>
      <c r="BA100" s="174">
        <v>0</v>
      </c>
      <c r="BB100" s="174">
        <v>0</v>
      </c>
      <c r="BC100" s="174">
        <v>0</v>
      </c>
      <c r="BD100" s="174">
        <v>0</v>
      </c>
      <c r="BE100" s="174">
        <v>0</v>
      </c>
      <c r="BF100" s="174">
        <v>0</v>
      </c>
      <c r="BG100" s="174">
        <v>0</v>
      </c>
      <c r="BH100" s="174">
        <v>0</v>
      </c>
      <c r="BI100" s="174">
        <v>0</v>
      </c>
      <c r="BJ100" s="522">
        <v>0</v>
      </c>
      <c r="BK100" s="522">
        <v>0</v>
      </c>
      <c r="BL100" s="522">
        <v>0</v>
      </c>
      <c r="BM100" s="522">
        <v>0</v>
      </c>
      <c r="BN100" s="522">
        <v>0</v>
      </c>
      <c r="BO100" s="522">
        <v>0</v>
      </c>
      <c r="BP100" s="174">
        <v>0</v>
      </c>
      <c r="BQ100" s="174">
        <v>0</v>
      </c>
      <c r="BR100" s="174">
        <v>0</v>
      </c>
      <c r="BS100" s="174">
        <v>0</v>
      </c>
      <c r="BT100" s="174">
        <v>0</v>
      </c>
      <c r="BU100" s="174">
        <v>0</v>
      </c>
      <c r="BV100" s="174">
        <v>0</v>
      </c>
      <c r="BW100" s="174">
        <f t="shared" si="17"/>
        <v>0</v>
      </c>
      <c r="BX100" s="219">
        <v>0</v>
      </c>
      <c r="BY100" s="173">
        <f t="shared" si="157"/>
        <v>0</v>
      </c>
      <c r="BZ100" s="67"/>
      <c r="CA100" s="136">
        <f>'10'!T78</f>
        <v>0</v>
      </c>
      <c r="CB100" s="60"/>
    </row>
    <row r="101" spans="1:80" s="105" customFormat="1" ht="110.25">
      <c r="A101" s="118" t="s">
        <v>943</v>
      </c>
      <c r="B101" s="144" t="s">
        <v>944</v>
      </c>
      <c r="C101" s="125" t="s">
        <v>876</v>
      </c>
      <c r="D101" s="524">
        <f t="shared" si="156"/>
        <v>0</v>
      </c>
      <c r="E101" s="172">
        <f t="shared" si="149"/>
        <v>0</v>
      </c>
      <c r="F101" s="172">
        <f t="shared" si="150"/>
        <v>0</v>
      </c>
      <c r="G101" s="172">
        <f t="shared" si="151"/>
        <v>0</v>
      </c>
      <c r="H101" s="172">
        <f t="shared" si="152"/>
        <v>0</v>
      </c>
      <c r="I101" s="172">
        <f t="shared" si="153"/>
        <v>0</v>
      </c>
      <c r="J101" s="172">
        <f t="shared" si="154"/>
        <v>0</v>
      </c>
      <c r="K101" s="172">
        <f t="shared" si="155"/>
        <v>0</v>
      </c>
      <c r="L101" s="177">
        <v>0</v>
      </c>
      <c r="M101" s="175">
        <v>0</v>
      </c>
      <c r="N101" s="177">
        <v>0</v>
      </c>
      <c r="O101" s="175">
        <v>0</v>
      </c>
      <c r="P101" s="177">
        <v>0</v>
      </c>
      <c r="Q101" s="175">
        <v>0</v>
      </c>
      <c r="R101" s="177">
        <v>0</v>
      </c>
      <c r="S101" s="175">
        <v>0</v>
      </c>
      <c r="T101" s="177">
        <v>0</v>
      </c>
      <c r="U101" s="175">
        <v>0</v>
      </c>
      <c r="V101" s="177">
        <v>0</v>
      </c>
      <c r="W101" s="175">
        <v>0</v>
      </c>
      <c r="X101" s="177">
        <v>0</v>
      </c>
      <c r="Y101" s="175">
        <v>0</v>
      </c>
      <c r="Z101" s="177">
        <v>0</v>
      </c>
      <c r="AA101" s="175">
        <v>0</v>
      </c>
      <c r="AB101" s="177">
        <v>0</v>
      </c>
      <c r="AC101" s="175">
        <v>0</v>
      </c>
      <c r="AD101" s="177">
        <v>0</v>
      </c>
      <c r="AE101" s="175">
        <v>0</v>
      </c>
      <c r="AF101" s="177">
        <v>0</v>
      </c>
      <c r="AG101" s="175">
        <v>0</v>
      </c>
      <c r="AH101" s="177">
        <v>0</v>
      </c>
      <c r="AI101" s="175">
        <v>0</v>
      </c>
      <c r="AJ101" s="177">
        <v>0</v>
      </c>
      <c r="AK101" s="175">
        <v>0</v>
      </c>
      <c r="AL101" s="177">
        <v>0</v>
      </c>
      <c r="AM101" s="175">
        <v>0</v>
      </c>
      <c r="AN101" s="174">
        <f t="shared" ref="AN101:AN115" si="159">AU101+BB101+BI101+BP101</f>
        <v>0</v>
      </c>
      <c r="AO101" s="174">
        <f t="shared" ref="AO101:AO115" si="160">AV101+BC101+BJ101+BQ101</f>
        <v>0</v>
      </c>
      <c r="AP101" s="174">
        <f t="shared" ref="AP101:AP115" si="161">AW101+BD101+BK101+BR101</f>
        <v>0</v>
      </c>
      <c r="AQ101" s="174">
        <f t="shared" ref="AQ101:AQ115" si="162">AX101+BE101+BL101+BS101</f>
        <v>0</v>
      </c>
      <c r="AR101" s="174">
        <f t="shared" ref="AR101:AR115" si="163">AY101+BF101+BM101+BT101</f>
        <v>0</v>
      </c>
      <c r="AS101" s="174">
        <f t="shared" ref="AS101:AS115" si="164">AZ101+BG101+BN101+BU101</f>
        <v>0</v>
      </c>
      <c r="AT101" s="174">
        <f t="shared" ref="AT101:AT115" si="165">BA101+BH101+BO101+BV101</f>
        <v>0</v>
      </c>
      <c r="AU101" s="174">
        <f t="shared" ref="AU101:BV101" si="166">AU102+AU103</f>
        <v>0</v>
      </c>
      <c r="AV101" s="174">
        <f t="shared" si="166"/>
        <v>0</v>
      </c>
      <c r="AW101" s="174">
        <f t="shared" si="166"/>
        <v>0</v>
      </c>
      <c r="AX101" s="174">
        <f t="shared" si="166"/>
        <v>0</v>
      </c>
      <c r="AY101" s="174">
        <f t="shared" si="166"/>
        <v>0</v>
      </c>
      <c r="AZ101" s="174">
        <f t="shared" si="166"/>
        <v>0</v>
      </c>
      <c r="BA101" s="174">
        <f t="shared" si="166"/>
        <v>0</v>
      </c>
      <c r="BB101" s="174">
        <f t="shared" si="166"/>
        <v>0</v>
      </c>
      <c r="BC101" s="174">
        <f t="shared" si="166"/>
        <v>0</v>
      </c>
      <c r="BD101" s="174">
        <f t="shared" si="166"/>
        <v>0</v>
      </c>
      <c r="BE101" s="174">
        <f t="shared" si="166"/>
        <v>0</v>
      </c>
      <c r="BF101" s="174">
        <f t="shared" si="166"/>
        <v>0</v>
      </c>
      <c r="BG101" s="174">
        <f t="shared" si="166"/>
        <v>0</v>
      </c>
      <c r="BH101" s="174">
        <f t="shared" si="166"/>
        <v>0</v>
      </c>
      <c r="BI101" s="174">
        <f t="shared" si="166"/>
        <v>0</v>
      </c>
      <c r="BJ101" s="522">
        <f t="shared" si="166"/>
        <v>0</v>
      </c>
      <c r="BK101" s="522">
        <f t="shared" si="166"/>
        <v>0</v>
      </c>
      <c r="BL101" s="522">
        <f t="shared" si="166"/>
        <v>0</v>
      </c>
      <c r="BM101" s="522">
        <f t="shared" si="166"/>
        <v>0</v>
      </c>
      <c r="BN101" s="522">
        <f t="shared" si="166"/>
        <v>0</v>
      </c>
      <c r="BO101" s="522">
        <f t="shared" si="166"/>
        <v>0</v>
      </c>
      <c r="BP101" s="174">
        <f t="shared" si="166"/>
        <v>0</v>
      </c>
      <c r="BQ101" s="174">
        <f t="shared" si="166"/>
        <v>0</v>
      </c>
      <c r="BR101" s="174">
        <f t="shared" si="166"/>
        <v>0</v>
      </c>
      <c r="BS101" s="174">
        <f t="shared" si="166"/>
        <v>0</v>
      </c>
      <c r="BT101" s="174">
        <f t="shared" si="166"/>
        <v>0</v>
      </c>
      <c r="BU101" s="174">
        <f t="shared" si="166"/>
        <v>0</v>
      </c>
      <c r="BV101" s="174">
        <f t="shared" si="166"/>
        <v>0</v>
      </c>
      <c r="BW101" s="174">
        <f t="shared" ref="BW101:BW115" si="167">E101-AN101</f>
        <v>0</v>
      </c>
      <c r="BX101" s="219">
        <v>0</v>
      </c>
      <c r="BY101" s="173">
        <f t="shared" si="157"/>
        <v>0</v>
      </c>
      <c r="BZ101" s="67"/>
      <c r="CA101" s="136">
        <f>'10'!T79</f>
        <v>0</v>
      </c>
      <c r="CB101" s="60"/>
    </row>
    <row r="102" spans="1:80" s="105" customFormat="1" ht="63">
      <c r="A102" s="118" t="s">
        <v>945</v>
      </c>
      <c r="B102" s="144" t="s">
        <v>946</v>
      </c>
      <c r="C102" s="125" t="s">
        <v>876</v>
      </c>
      <c r="D102" s="524">
        <f t="shared" si="156"/>
        <v>0</v>
      </c>
      <c r="E102" s="172">
        <f t="shared" si="149"/>
        <v>0</v>
      </c>
      <c r="F102" s="172">
        <f t="shared" si="150"/>
        <v>0</v>
      </c>
      <c r="G102" s="172">
        <f t="shared" si="151"/>
        <v>0</v>
      </c>
      <c r="H102" s="172">
        <f t="shared" si="152"/>
        <v>0</v>
      </c>
      <c r="I102" s="172">
        <f t="shared" si="153"/>
        <v>0</v>
      </c>
      <c r="J102" s="172">
        <f t="shared" si="154"/>
        <v>0</v>
      </c>
      <c r="K102" s="172">
        <f t="shared" si="155"/>
        <v>0</v>
      </c>
      <c r="L102" s="177">
        <v>0</v>
      </c>
      <c r="M102" s="175">
        <v>0</v>
      </c>
      <c r="N102" s="177">
        <v>0</v>
      </c>
      <c r="O102" s="175">
        <v>0</v>
      </c>
      <c r="P102" s="177">
        <v>0</v>
      </c>
      <c r="Q102" s="175">
        <v>0</v>
      </c>
      <c r="R102" s="177">
        <v>0</v>
      </c>
      <c r="S102" s="175">
        <v>0</v>
      </c>
      <c r="T102" s="177">
        <v>0</v>
      </c>
      <c r="U102" s="175">
        <v>0</v>
      </c>
      <c r="V102" s="177">
        <v>0</v>
      </c>
      <c r="W102" s="175">
        <v>0</v>
      </c>
      <c r="X102" s="177">
        <v>0</v>
      </c>
      <c r="Y102" s="175">
        <v>0</v>
      </c>
      <c r="Z102" s="175">
        <v>0</v>
      </c>
      <c r="AA102" s="177">
        <v>0</v>
      </c>
      <c r="AB102" s="175">
        <v>0</v>
      </c>
      <c r="AC102" s="177">
        <v>0</v>
      </c>
      <c r="AD102" s="175">
        <v>0</v>
      </c>
      <c r="AE102" s="177">
        <v>0</v>
      </c>
      <c r="AF102" s="175">
        <v>0</v>
      </c>
      <c r="AG102" s="175">
        <v>0</v>
      </c>
      <c r="AH102" s="177">
        <v>0</v>
      </c>
      <c r="AI102" s="175">
        <v>0</v>
      </c>
      <c r="AJ102" s="177">
        <v>0</v>
      </c>
      <c r="AK102" s="175">
        <v>0</v>
      </c>
      <c r="AL102" s="177">
        <v>0</v>
      </c>
      <c r="AM102" s="175">
        <v>0</v>
      </c>
      <c r="AN102" s="174">
        <f t="shared" si="159"/>
        <v>0</v>
      </c>
      <c r="AO102" s="174">
        <f t="shared" si="160"/>
        <v>0</v>
      </c>
      <c r="AP102" s="174">
        <f t="shared" si="161"/>
        <v>0</v>
      </c>
      <c r="AQ102" s="174">
        <f t="shared" si="162"/>
        <v>0</v>
      </c>
      <c r="AR102" s="174">
        <f t="shared" si="163"/>
        <v>0</v>
      </c>
      <c r="AS102" s="174">
        <f t="shared" si="164"/>
        <v>0</v>
      </c>
      <c r="AT102" s="174">
        <f t="shared" si="165"/>
        <v>0</v>
      </c>
      <c r="AU102" s="174">
        <v>0</v>
      </c>
      <c r="AV102" s="174">
        <v>0</v>
      </c>
      <c r="AW102" s="174">
        <v>0</v>
      </c>
      <c r="AX102" s="174">
        <v>0</v>
      </c>
      <c r="AY102" s="174">
        <v>0</v>
      </c>
      <c r="AZ102" s="174">
        <v>0</v>
      </c>
      <c r="BA102" s="174">
        <v>0</v>
      </c>
      <c r="BB102" s="174">
        <v>0</v>
      </c>
      <c r="BC102" s="174">
        <v>0</v>
      </c>
      <c r="BD102" s="174">
        <v>0</v>
      </c>
      <c r="BE102" s="174">
        <v>0</v>
      </c>
      <c r="BF102" s="174">
        <v>0</v>
      </c>
      <c r="BG102" s="174">
        <v>0</v>
      </c>
      <c r="BH102" s="174">
        <v>0</v>
      </c>
      <c r="BI102" s="174">
        <v>0</v>
      </c>
      <c r="BJ102" s="522">
        <v>0</v>
      </c>
      <c r="BK102" s="522">
        <v>0</v>
      </c>
      <c r="BL102" s="522">
        <v>0</v>
      </c>
      <c r="BM102" s="522">
        <v>0</v>
      </c>
      <c r="BN102" s="522">
        <v>0</v>
      </c>
      <c r="BO102" s="522">
        <v>0</v>
      </c>
      <c r="BP102" s="174">
        <v>0</v>
      </c>
      <c r="BQ102" s="174">
        <v>0</v>
      </c>
      <c r="BR102" s="174">
        <v>0</v>
      </c>
      <c r="BS102" s="174">
        <v>0</v>
      </c>
      <c r="BT102" s="174">
        <v>0</v>
      </c>
      <c r="BU102" s="174">
        <v>0</v>
      </c>
      <c r="BV102" s="174">
        <v>0</v>
      </c>
      <c r="BW102" s="174">
        <f t="shared" si="167"/>
        <v>0</v>
      </c>
      <c r="BX102" s="219">
        <v>0</v>
      </c>
      <c r="BY102" s="173">
        <f t="shared" si="157"/>
        <v>0</v>
      </c>
      <c r="BZ102" s="67"/>
      <c r="CA102" s="136">
        <f>'10'!T80</f>
        <v>0</v>
      </c>
      <c r="CB102" s="60"/>
    </row>
    <row r="103" spans="1:80" s="105" customFormat="1" ht="63">
      <c r="A103" s="118" t="s">
        <v>947</v>
      </c>
      <c r="B103" s="144" t="s">
        <v>948</v>
      </c>
      <c r="C103" s="125" t="s">
        <v>876</v>
      </c>
      <c r="D103" s="524">
        <f t="shared" si="156"/>
        <v>0</v>
      </c>
      <c r="E103" s="172">
        <f t="shared" si="149"/>
        <v>0</v>
      </c>
      <c r="F103" s="172">
        <f t="shared" si="150"/>
        <v>0</v>
      </c>
      <c r="G103" s="172">
        <f t="shared" si="151"/>
        <v>0</v>
      </c>
      <c r="H103" s="172">
        <f t="shared" si="152"/>
        <v>0</v>
      </c>
      <c r="I103" s="172">
        <f t="shared" si="153"/>
        <v>0</v>
      </c>
      <c r="J103" s="172">
        <f t="shared" si="154"/>
        <v>0</v>
      </c>
      <c r="K103" s="172">
        <f t="shared" si="155"/>
        <v>0</v>
      </c>
      <c r="L103" s="177">
        <v>0</v>
      </c>
      <c r="M103" s="175">
        <v>0</v>
      </c>
      <c r="N103" s="177">
        <v>0</v>
      </c>
      <c r="O103" s="175">
        <v>0</v>
      </c>
      <c r="P103" s="177">
        <v>0</v>
      </c>
      <c r="Q103" s="175">
        <v>0</v>
      </c>
      <c r="R103" s="177">
        <v>0</v>
      </c>
      <c r="S103" s="175">
        <v>0</v>
      </c>
      <c r="T103" s="177">
        <v>0</v>
      </c>
      <c r="U103" s="175">
        <v>0</v>
      </c>
      <c r="V103" s="177">
        <v>0</v>
      </c>
      <c r="W103" s="175">
        <v>0</v>
      </c>
      <c r="X103" s="177">
        <v>0</v>
      </c>
      <c r="Y103" s="175">
        <v>0</v>
      </c>
      <c r="Z103" s="175">
        <v>0</v>
      </c>
      <c r="AA103" s="177">
        <v>0</v>
      </c>
      <c r="AB103" s="175">
        <v>0</v>
      </c>
      <c r="AC103" s="177">
        <v>0</v>
      </c>
      <c r="AD103" s="175">
        <v>0</v>
      </c>
      <c r="AE103" s="177">
        <v>0</v>
      </c>
      <c r="AF103" s="175">
        <v>0</v>
      </c>
      <c r="AG103" s="175">
        <v>0</v>
      </c>
      <c r="AH103" s="177">
        <v>0</v>
      </c>
      <c r="AI103" s="175">
        <v>0</v>
      </c>
      <c r="AJ103" s="177">
        <v>0</v>
      </c>
      <c r="AK103" s="175">
        <v>0</v>
      </c>
      <c r="AL103" s="177">
        <v>0</v>
      </c>
      <c r="AM103" s="175">
        <v>0</v>
      </c>
      <c r="AN103" s="174">
        <f t="shared" si="159"/>
        <v>0</v>
      </c>
      <c r="AO103" s="174">
        <f t="shared" si="160"/>
        <v>0</v>
      </c>
      <c r="AP103" s="174">
        <f t="shared" si="161"/>
        <v>0</v>
      </c>
      <c r="AQ103" s="174">
        <f t="shared" si="162"/>
        <v>0</v>
      </c>
      <c r="AR103" s="174">
        <f t="shared" si="163"/>
        <v>0</v>
      </c>
      <c r="AS103" s="174">
        <f t="shared" si="164"/>
        <v>0</v>
      </c>
      <c r="AT103" s="174">
        <f t="shared" si="165"/>
        <v>0</v>
      </c>
      <c r="AU103" s="174">
        <v>0</v>
      </c>
      <c r="AV103" s="174">
        <v>0</v>
      </c>
      <c r="AW103" s="174">
        <v>0</v>
      </c>
      <c r="AX103" s="174">
        <v>0</v>
      </c>
      <c r="AY103" s="174">
        <v>0</v>
      </c>
      <c r="AZ103" s="174">
        <v>0</v>
      </c>
      <c r="BA103" s="174">
        <v>0</v>
      </c>
      <c r="BB103" s="174">
        <v>0</v>
      </c>
      <c r="BC103" s="174">
        <v>0</v>
      </c>
      <c r="BD103" s="174">
        <v>0</v>
      </c>
      <c r="BE103" s="174">
        <v>0</v>
      </c>
      <c r="BF103" s="174">
        <v>0</v>
      </c>
      <c r="BG103" s="174">
        <v>0</v>
      </c>
      <c r="BH103" s="174">
        <v>0</v>
      </c>
      <c r="BI103" s="174">
        <v>0</v>
      </c>
      <c r="BJ103" s="522">
        <v>0</v>
      </c>
      <c r="BK103" s="522">
        <v>0</v>
      </c>
      <c r="BL103" s="522">
        <v>0</v>
      </c>
      <c r="BM103" s="522">
        <v>0</v>
      </c>
      <c r="BN103" s="522">
        <v>0</v>
      </c>
      <c r="BO103" s="522">
        <v>0</v>
      </c>
      <c r="BP103" s="174">
        <v>0</v>
      </c>
      <c r="BQ103" s="174">
        <v>0</v>
      </c>
      <c r="BR103" s="174">
        <v>0</v>
      </c>
      <c r="BS103" s="174">
        <v>0</v>
      </c>
      <c r="BT103" s="174">
        <v>0</v>
      </c>
      <c r="BU103" s="174">
        <v>0</v>
      </c>
      <c r="BV103" s="174">
        <v>0</v>
      </c>
      <c r="BW103" s="174">
        <f t="shared" si="167"/>
        <v>0</v>
      </c>
      <c r="BX103" s="219">
        <v>0</v>
      </c>
      <c r="BY103" s="173">
        <f t="shared" si="157"/>
        <v>0</v>
      </c>
      <c r="BZ103" s="67"/>
      <c r="CA103" s="136">
        <f>'10'!T81</f>
        <v>0</v>
      </c>
      <c r="CB103" s="60"/>
    </row>
    <row r="104" spans="1:80" s="105" customFormat="1" ht="31.5">
      <c r="A104" s="118" t="s">
        <v>949</v>
      </c>
      <c r="B104" s="144" t="s">
        <v>884</v>
      </c>
      <c r="C104" s="138" t="s">
        <v>876</v>
      </c>
      <c r="D104" s="524">
        <f t="shared" si="156"/>
        <v>0</v>
      </c>
      <c r="E104" s="172">
        <f t="shared" si="149"/>
        <v>0</v>
      </c>
      <c r="F104" s="172">
        <f t="shared" si="150"/>
        <v>0</v>
      </c>
      <c r="G104" s="172">
        <f t="shared" si="151"/>
        <v>0</v>
      </c>
      <c r="H104" s="172">
        <f t="shared" si="152"/>
        <v>0</v>
      </c>
      <c r="I104" s="172">
        <f t="shared" si="153"/>
        <v>0</v>
      </c>
      <c r="J104" s="172">
        <f t="shared" si="154"/>
        <v>0</v>
      </c>
      <c r="K104" s="172">
        <f t="shared" si="155"/>
        <v>0</v>
      </c>
      <c r="L104" s="175">
        <v>0</v>
      </c>
      <c r="M104" s="175">
        <v>0</v>
      </c>
      <c r="N104" s="175">
        <v>0</v>
      </c>
      <c r="O104" s="175">
        <v>0</v>
      </c>
      <c r="P104" s="175">
        <v>0</v>
      </c>
      <c r="Q104" s="175">
        <v>0</v>
      </c>
      <c r="R104" s="175">
        <v>0</v>
      </c>
      <c r="S104" s="175">
        <v>0</v>
      </c>
      <c r="T104" s="175">
        <v>0</v>
      </c>
      <c r="U104" s="175">
        <v>0</v>
      </c>
      <c r="V104" s="175">
        <v>0</v>
      </c>
      <c r="W104" s="175">
        <v>0</v>
      </c>
      <c r="X104" s="175">
        <v>0</v>
      </c>
      <c r="Y104" s="175">
        <v>0</v>
      </c>
      <c r="Z104" s="175">
        <v>0</v>
      </c>
      <c r="AA104" s="175">
        <v>0</v>
      </c>
      <c r="AB104" s="175">
        <v>0</v>
      </c>
      <c r="AC104" s="175">
        <v>0</v>
      </c>
      <c r="AD104" s="175">
        <v>0</v>
      </c>
      <c r="AE104" s="175">
        <v>0</v>
      </c>
      <c r="AF104" s="175">
        <v>0</v>
      </c>
      <c r="AG104" s="175">
        <v>0</v>
      </c>
      <c r="AH104" s="175">
        <v>0</v>
      </c>
      <c r="AI104" s="175">
        <v>0</v>
      </c>
      <c r="AJ104" s="175">
        <v>0</v>
      </c>
      <c r="AK104" s="175">
        <v>0</v>
      </c>
      <c r="AL104" s="175">
        <v>0</v>
      </c>
      <c r="AM104" s="175">
        <v>0</v>
      </c>
      <c r="AN104" s="174">
        <f t="shared" si="159"/>
        <v>0</v>
      </c>
      <c r="AO104" s="174">
        <f t="shared" si="160"/>
        <v>0</v>
      </c>
      <c r="AP104" s="174">
        <f t="shared" si="161"/>
        <v>0</v>
      </c>
      <c r="AQ104" s="174">
        <f t="shared" si="162"/>
        <v>0</v>
      </c>
      <c r="AR104" s="174">
        <f t="shared" si="163"/>
        <v>0</v>
      </c>
      <c r="AS104" s="174">
        <f t="shared" si="164"/>
        <v>0</v>
      </c>
      <c r="AT104" s="174">
        <f t="shared" si="165"/>
        <v>0</v>
      </c>
      <c r="AU104" s="174">
        <v>0</v>
      </c>
      <c r="AV104" s="174">
        <v>0</v>
      </c>
      <c r="AW104" s="174">
        <v>0</v>
      </c>
      <c r="AX104" s="174">
        <v>0</v>
      </c>
      <c r="AY104" s="174">
        <v>0</v>
      </c>
      <c r="AZ104" s="174">
        <v>0</v>
      </c>
      <c r="BA104" s="174">
        <v>0</v>
      </c>
      <c r="BB104" s="174">
        <v>0</v>
      </c>
      <c r="BC104" s="174">
        <v>0</v>
      </c>
      <c r="BD104" s="174">
        <v>0</v>
      </c>
      <c r="BE104" s="174">
        <v>0</v>
      </c>
      <c r="BF104" s="174">
        <v>0</v>
      </c>
      <c r="BG104" s="174">
        <v>0</v>
      </c>
      <c r="BH104" s="174">
        <v>0</v>
      </c>
      <c r="BI104" s="174">
        <v>0</v>
      </c>
      <c r="BJ104" s="522">
        <v>0</v>
      </c>
      <c r="BK104" s="522">
        <v>0</v>
      </c>
      <c r="BL104" s="522">
        <v>0</v>
      </c>
      <c r="BM104" s="522">
        <v>0</v>
      </c>
      <c r="BN104" s="522">
        <v>0</v>
      </c>
      <c r="BO104" s="522">
        <v>0</v>
      </c>
      <c r="BP104" s="174">
        <v>0</v>
      </c>
      <c r="BQ104" s="174">
        <v>0</v>
      </c>
      <c r="BR104" s="174">
        <v>0</v>
      </c>
      <c r="BS104" s="174">
        <v>0</v>
      </c>
      <c r="BT104" s="174">
        <v>0</v>
      </c>
      <c r="BU104" s="174">
        <v>0</v>
      </c>
      <c r="BV104" s="174">
        <v>0</v>
      </c>
      <c r="BW104" s="174">
        <f t="shared" si="167"/>
        <v>0</v>
      </c>
      <c r="BX104" s="219">
        <v>0</v>
      </c>
      <c r="BY104" s="173">
        <f t="shared" si="157"/>
        <v>0</v>
      </c>
      <c r="BZ104" s="67"/>
      <c r="CA104" s="136">
        <f>'10'!T82</f>
        <v>0</v>
      </c>
      <c r="CB104" s="60"/>
    </row>
    <row r="105" spans="1:80" s="120" customFormat="1" ht="47.25">
      <c r="A105" s="134" t="s">
        <v>843</v>
      </c>
      <c r="B105" s="147" t="s">
        <v>1072</v>
      </c>
      <c r="C105" s="130" t="s">
        <v>1088</v>
      </c>
      <c r="D105" s="524">
        <f t="shared" si="156"/>
        <v>0</v>
      </c>
      <c r="E105" s="524">
        <v>0</v>
      </c>
      <c r="F105" s="524">
        <v>0</v>
      </c>
      <c r="G105" s="524">
        <v>0</v>
      </c>
      <c r="H105" s="524">
        <v>0</v>
      </c>
      <c r="I105" s="524">
        <v>0</v>
      </c>
      <c r="J105" s="524">
        <v>0</v>
      </c>
      <c r="K105" s="524">
        <v>0</v>
      </c>
      <c r="L105" s="549">
        <v>0</v>
      </c>
      <c r="M105" s="549">
        <v>0</v>
      </c>
      <c r="N105" s="549">
        <v>0</v>
      </c>
      <c r="O105" s="549">
        <v>0</v>
      </c>
      <c r="P105" s="549">
        <v>0</v>
      </c>
      <c r="Q105" s="549">
        <v>0</v>
      </c>
      <c r="R105" s="549">
        <v>0</v>
      </c>
      <c r="S105" s="549">
        <v>0</v>
      </c>
      <c r="T105" s="549">
        <v>0</v>
      </c>
      <c r="U105" s="549">
        <v>0</v>
      </c>
      <c r="V105" s="549">
        <v>0</v>
      </c>
      <c r="W105" s="549">
        <v>0</v>
      </c>
      <c r="X105" s="549">
        <v>0</v>
      </c>
      <c r="Y105" s="549">
        <v>0</v>
      </c>
      <c r="Z105" s="549">
        <v>0</v>
      </c>
      <c r="AA105" s="549">
        <v>0</v>
      </c>
      <c r="AB105" s="549">
        <v>0</v>
      </c>
      <c r="AC105" s="549">
        <v>0</v>
      </c>
      <c r="AD105" s="549">
        <v>0</v>
      </c>
      <c r="AE105" s="549">
        <v>0</v>
      </c>
      <c r="AF105" s="549">
        <v>0</v>
      </c>
      <c r="AG105" s="549">
        <v>0</v>
      </c>
      <c r="AH105" s="549">
        <v>0</v>
      </c>
      <c r="AI105" s="549">
        <v>0</v>
      </c>
      <c r="AJ105" s="549">
        <v>0</v>
      </c>
      <c r="AK105" s="549">
        <v>0</v>
      </c>
      <c r="AL105" s="549">
        <v>0</v>
      </c>
      <c r="AM105" s="549">
        <v>0</v>
      </c>
      <c r="AN105" s="522">
        <v>0</v>
      </c>
      <c r="AO105" s="522">
        <v>0</v>
      </c>
      <c r="AP105" s="522">
        <v>0</v>
      </c>
      <c r="AQ105" s="522">
        <v>0</v>
      </c>
      <c r="AR105" s="522">
        <v>0</v>
      </c>
      <c r="AS105" s="522">
        <v>0</v>
      </c>
      <c r="AT105" s="522">
        <v>0</v>
      </c>
      <c r="AU105" s="522">
        <v>0</v>
      </c>
      <c r="AV105" s="522">
        <v>0</v>
      </c>
      <c r="AW105" s="522">
        <v>0</v>
      </c>
      <c r="AX105" s="522">
        <v>0</v>
      </c>
      <c r="AY105" s="522">
        <v>0</v>
      </c>
      <c r="AZ105" s="522">
        <v>0</v>
      </c>
      <c r="BA105" s="522">
        <v>0</v>
      </c>
      <c r="BB105" s="522">
        <v>0</v>
      </c>
      <c r="BC105" s="522">
        <v>0</v>
      </c>
      <c r="BD105" s="522">
        <v>0</v>
      </c>
      <c r="BE105" s="522">
        <v>0</v>
      </c>
      <c r="BF105" s="522">
        <v>0</v>
      </c>
      <c r="BG105" s="522">
        <v>0</v>
      </c>
      <c r="BH105" s="522">
        <v>0</v>
      </c>
      <c r="BI105" s="522">
        <v>0</v>
      </c>
      <c r="BJ105" s="522">
        <v>0</v>
      </c>
      <c r="BK105" s="522">
        <v>0</v>
      </c>
      <c r="BL105" s="522">
        <v>0</v>
      </c>
      <c r="BM105" s="522">
        <v>0</v>
      </c>
      <c r="BN105" s="522">
        <v>0</v>
      </c>
      <c r="BO105" s="522">
        <v>0</v>
      </c>
      <c r="BP105" s="522">
        <v>0</v>
      </c>
      <c r="BQ105" s="522">
        <v>0</v>
      </c>
      <c r="BR105" s="522">
        <v>0</v>
      </c>
      <c r="BS105" s="522">
        <v>0</v>
      </c>
      <c r="BT105" s="522">
        <v>0</v>
      </c>
      <c r="BU105" s="522">
        <v>0</v>
      </c>
      <c r="BV105" s="522">
        <v>0</v>
      </c>
      <c r="BW105" s="522">
        <v>0</v>
      </c>
      <c r="BX105" s="531">
        <v>0</v>
      </c>
      <c r="BY105" s="174">
        <f t="shared" si="157"/>
        <v>0</v>
      </c>
      <c r="BZ105" s="550"/>
      <c r="CA105" s="550"/>
      <c r="CB105" s="551"/>
    </row>
    <row r="106" spans="1:80" s="120" customFormat="1" ht="47.25">
      <c r="A106" s="134" t="s">
        <v>844</v>
      </c>
      <c r="B106" s="147" t="s">
        <v>1073</v>
      </c>
      <c r="C106" s="130" t="s">
        <v>1087</v>
      </c>
      <c r="D106" s="524">
        <f t="shared" si="156"/>
        <v>0</v>
      </c>
      <c r="E106" s="524">
        <v>0</v>
      </c>
      <c r="F106" s="524">
        <v>0</v>
      </c>
      <c r="G106" s="524">
        <v>0</v>
      </c>
      <c r="H106" s="524">
        <v>0</v>
      </c>
      <c r="I106" s="524">
        <v>0</v>
      </c>
      <c r="J106" s="524">
        <v>0</v>
      </c>
      <c r="K106" s="524">
        <v>0</v>
      </c>
      <c r="L106" s="549">
        <v>0</v>
      </c>
      <c r="M106" s="549">
        <v>0</v>
      </c>
      <c r="N106" s="549">
        <v>0</v>
      </c>
      <c r="O106" s="549">
        <v>0</v>
      </c>
      <c r="P106" s="549">
        <v>0</v>
      </c>
      <c r="Q106" s="549">
        <v>0</v>
      </c>
      <c r="R106" s="549">
        <v>0</v>
      </c>
      <c r="S106" s="549">
        <v>0</v>
      </c>
      <c r="T106" s="549">
        <v>0</v>
      </c>
      <c r="U106" s="549">
        <v>0</v>
      </c>
      <c r="V106" s="549">
        <v>0</v>
      </c>
      <c r="W106" s="549">
        <v>0</v>
      </c>
      <c r="X106" s="549">
        <v>0</v>
      </c>
      <c r="Y106" s="549">
        <v>0</v>
      </c>
      <c r="Z106" s="549">
        <v>0</v>
      </c>
      <c r="AA106" s="549">
        <v>0</v>
      </c>
      <c r="AB106" s="549">
        <v>0</v>
      </c>
      <c r="AC106" s="549">
        <v>0</v>
      </c>
      <c r="AD106" s="549">
        <v>0</v>
      </c>
      <c r="AE106" s="549">
        <v>0</v>
      </c>
      <c r="AF106" s="549">
        <v>0</v>
      </c>
      <c r="AG106" s="549">
        <v>0</v>
      </c>
      <c r="AH106" s="549">
        <v>0</v>
      </c>
      <c r="AI106" s="549">
        <v>0</v>
      </c>
      <c r="AJ106" s="549">
        <v>0</v>
      </c>
      <c r="AK106" s="549">
        <v>0</v>
      </c>
      <c r="AL106" s="549">
        <v>0</v>
      </c>
      <c r="AM106" s="549">
        <v>0</v>
      </c>
      <c r="AN106" s="522">
        <v>0</v>
      </c>
      <c r="AO106" s="522">
        <v>0</v>
      </c>
      <c r="AP106" s="522">
        <v>0</v>
      </c>
      <c r="AQ106" s="522">
        <v>0</v>
      </c>
      <c r="AR106" s="522">
        <v>0</v>
      </c>
      <c r="AS106" s="522">
        <v>0</v>
      </c>
      <c r="AT106" s="522">
        <v>0</v>
      </c>
      <c r="AU106" s="522">
        <v>0</v>
      </c>
      <c r="AV106" s="522">
        <v>0</v>
      </c>
      <c r="AW106" s="522">
        <v>0</v>
      </c>
      <c r="AX106" s="522">
        <v>0</v>
      </c>
      <c r="AY106" s="522">
        <v>0</v>
      </c>
      <c r="AZ106" s="522">
        <v>0</v>
      </c>
      <c r="BA106" s="522">
        <v>0</v>
      </c>
      <c r="BB106" s="522">
        <v>0</v>
      </c>
      <c r="BC106" s="522">
        <v>0</v>
      </c>
      <c r="BD106" s="522">
        <v>0</v>
      </c>
      <c r="BE106" s="522">
        <v>0</v>
      </c>
      <c r="BF106" s="522">
        <v>0</v>
      </c>
      <c r="BG106" s="522">
        <v>0</v>
      </c>
      <c r="BH106" s="522">
        <v>0</v>
      </c>
      <c r="BI106" s="522">
        <v>0</v>
      </c>
      <c r="BJ106" s="522">
        <v>0</v>
      </c>
      <c r="BK106" s="522">
        <v>0</v>
      </c>
      <c r="BL106" s="522">
        <v>0</v>
      </c>
      <c r="BM106" s="522">
        <v>0</v>
      </c>
      <c r="BN106" s="522">
        <v>0</v>
      </c>
      <c r="BO106" s="522">
        <v>0</v>
      </c>
      <c r="BP106" s="522">
        <v>0</v>
      </c>
      <c r="BQ106" s="522">
        <v>0</v>
      </c>
      <c r="BR106" s="522">
        <v>0</v>
      </c>
      <c r="BS106" s="522">
        <v>0</v>
      </c>
      <c r="BT106" s="522">
        <v>0</v>
      </c>
      <c r="BU106" s="522">
        <v>0</v>
      </c>
      <c r="BV106" s="522">
        <v>0</v>
      </c>
      <c r="BW106" s="522">
        <v>0</v>
      </c>
      <c r="BX106" s="531">
        <v>0</v>
      </c>
      <c r="BY106" s="174">
        <f t="shared" si="157"/>
        <v>0</v>
      </c>
      <c r="BZ106" s="550"/>
      <c r="CA106" s="550"/>
      <c r="CB106" s="551"/>
    </row>
    <row r="107" spans="1:80" s="105" customFormat="1" ht="47.25">
      <c r="A107" s="118" t="s">
        <v>950</v>
      </c>
      <c r="B107" s="144" t="s">
        <v>951</v>
      </c>
      <c r="C107" s="125" t="s">
        <v>876</v>
      </c>
      <c r="D107" s="524">
        <f t="shared" si="156"/>
        <v>0</v>
      </c>
      <c r="E107" s="172">
        <f t="shared" si="149"/>
        <v>0</v>
      </c>
      <c r="F107" s="172">
        <f t="shared" si="150"/>
        <v>0</v>
      </c>
      <c r="G107" s="172">
        <f t="shared" si="151"/>
        <v>0</v>
      </c>
      <c r="H107" s="172">
        <f t="shared" si="152"/>
        <v>0</v>
      </c>
      <c r="I107" s="172">
        <f t="shared" si="153"/>
        <v>0</v>
      </c>
      <c r="J107" s="172">
        <f t="shared" si="154"/>
        <v>0</v>
      </c>
      <c r="K107" s="172">
        <f t="shared" si="155"/>
        <v>0</v>
      </c>
      <c r="L107" s="177">
        <v>0</v>
      </c>
      <c r="M107" s="175">
        <v>0</v>
      </c>
      <c r="N107" s="177">
        <v>0</v>
      </c>
      <c r="O107" s="175">
        <v>0</v>
      </c>
      <c r="P107" s="177">
        <v>0</v>
      </c>
      <c r="Q107" s="175">
        <v>0</v>
      </c>
      <c r="R107" s="177">
        <v>0</v>
      </c>
      <c r="S107" s="175">
        <v>0</v>
      </c>
      <c r="T107" s="177">
        <v>0</v>
      </c>
      <c r="U107" s="175">
        <v>0</v>
      </c>
      <c r="V107" s="177">
        <v>0</v>
      </c>
      <c r="W107" s="175">
        <v>0</v>
      </c>
      <c r="X107" s="177">
        <v>0</v>
      </c>
      <c r="Y107" s="175">
        <v>0</v>
      </c>
      <c r="Z107" s="177">
        <v>0</v>
      </c>
      <c r="AA107" s="175">
        <v>0</v>
      </c>
      <c r="AB107" s="177">
        <v>0</v>
      </c>
      <c r="AC107" s="175">
        <v>0</v>
      </c>
      <c r="AD107" s="177">
        <v>0</v>
      </c>
      <c r="AE107" s="175">
        <v>0</v>
      </c>
      <c r="AF107" s="177">
        <v>0</v>
      </c>
      <c r="AG107" s="175">
        <v>0</v>
      </c>
      <c r="AH107" s="177">
        <v>0</v>
      </c>
      <c r="AI107" s="175">
        <v>0</v>
      </c>
      <c r="AJ107" s="177">
        <v>0</v>
      </c>
      <c r="AK107" s="175">
        <v>0</v>
      </c>
      <c r="AL107" s="177">
        <v>0</v>
      </c>
      <c r="AM107" s="175">
        <v>0</v>
      </c>
      <c r="AN107" s="174">
        <f t="shared" si="159"/>
        <v>0</v>
      </c>
      <c r="AO107" s="174">
        <f t="shared" si="160"/>
        <v>0</v>
      </c>
      <c r="AP107" s="174">
        <f t="shared" si="161"/>
        <v>0</v>
      </c>
      <c r="AQ107" s="174">
        <f t="shared" si="162"/>
        <v>0</v>
      </c>
      <c r="AR107" s="174">
        <f t="shared" si="163"/>
        <v>0</v>
      </c>
      <c r="AS107" s="174">
        <f t="shared" si="164"/>
        <v>0</v>
      </c>
      <c r="AT107" s="174">
        <f t="shared" si="165"/>
        <v>0</v>
      </c>
      <c r="AU107" s="174">
        <v>0</v>
      </c>
      <c r="AV107" s="174">
        <v>0</v>
      </c>
      <c r="AW107" s="174">
        <v>0</v>
      </c>
      <c r="AX107" s="174">
        <v>0</v>
      </c>
      <c r="AY107" s="174">
        <v>0</v>
      </c>
      <c r="AZ107" s="174">
        <v>0</v>
      </c>
      <c r="BA107" s="174">
        <v>0</v>
      </c>
      <c r="BB107" s="174">
        <v>0</v>
      </c>
      <c r="BC107" s="174">
        <v>0</v>
      </c>
      <c r="BD107" s="174">
        <v>0</v>
      </c>
      <c r="BE107" s="174">
        <v>0</v>
      </c>
      <c r="BF107" s="174">
        <v>0</v>
      </c>
      <c r="BG107" s="174">
        <v>0</v>
      </c>
      <c r="BH107" s="174">
        <v>0</v>
      </c>
      <c r="BI107" s="174">
        <v>0</v>
      </c>
      <c r="BJ107" s="522">
        <v>0</v>
      </c>
      <c r="BK107" s="522">
        <v>0</v>
      </c>
      <c r="BL107" s="522">
        <v>0</v>
      </c>
      <c r="BM107" s="522">
        <v>0</v>
      </c>
      <c r="BN107" s="522">
        <v>0</v>
      </c>
      <c r="BO107" s="522">
        <v>0</v>
      </c>
      <c r="BP107" s="174">
        <v>0</v>
      </c>
      <c r="BQ107" s="174">
        <v>0</v>
      </c>
      <c r="BR107" s="174">
        <v>0</v>
      </c>
      <c r="BS107" s="174">
        <v>0</v>
      </c>
      <c r="BT107" s="174">
        <v>0</v>
      </c>
      <c r="BU107" s="174">
        <v>0</v>
      </c>
      <c r="BV107" s="174">
        <v>0</v>
      </c>
      <c r="BW107" s="174">
        <f t="shared" si="167"/>
        <v>0</v>
      </c>
      <c r="BX107" s="219">
        <v>0</v>
      </c>
      <c r="BY107" s="173">
        <f t="shared" si="157"/>
        <v>0</v>
      </c>
      <c r="BZ107" s="67"/>
      <c r="CA107" s="136">
        <f>'10'!T85</f>
        <v>0</v>
      </c>
      <c r="CB107" s="60"/>
    </row>
    <row r="108" spans="1:80" s="105" customFormat="1" ht="31.5">
      <c r="A108" s="118" t="s">
        <v>952</v>
      </c>
      <c r="B108" s="144" t="s">
        <v>953</v>
      </c>
      <c r="C108" s="125" t="s">
        <v>876</v>
      </c>
      <c r="D108" s="524">
        <f t="shared" si="156"/>
        <v>7.3191999999999993E-2</v>
      </c>
      <c r="E108" s="172">
        <f t="shared" si="149"/>
        <v>0</v>
      </c>
      <c r="F108" s="172">
        <f t="shared" si="150"/>
        <v>7.3191999999999993E-2</v>
      </c>
      <c r="G108" s="172">
        <f t="shared" si="151"/>
        <v>0</v>
      </c>
      <c r="H108" s="172">
        <f t="shared" si="152"/>
        <v>0</v>
      </c>
      <c r="I108" s="172">
        <f t="shared" si="153"/>
        <v>0</v>
      </c>
      <c r="J108" s="172">
        <f t="shared" si="154"/>
        <v>0</v>
      </c>
      <c r="K108" s="172">
        <f t="shared" si="155"/>
        <v>0</v>
      </c>
      <c r="L108" s="175">
        <v>0</v>
      </c>
      <c r="M108" s="175">
        <v>0</v>
      </c>
      <c r="N108" s="175">
        <v>0</v>
      </c>
      <c r="O108" s="175">
        <v>0</v>
      </c>
      <c r="P108" s="175">
        <v>0</v>
      </c>
      <c r="Q108" s="175">
        <v>0</v>
      </c>
      <c r="R108" s="175">
        <v>0</v>
      </c>
      <c r="S108" s="175">
        <v>0</v>
      </c>
      <c r="T108" s="175">
        <v>0</v>
      </c>
      <c r="U108" s="175">
        <v>0</v>
      </c>
      <c r="V108" s="175">
        <v>0</v>
      </c>
      <c r="W108" s="175">
        <v>0</v>
      </c>
      <c r="X108" s="175">
        <v>0</v>
      </c>
      <c r="Y108" s="175">
        <v>0</v>
      </c>
      <c r="Z108" s="175">
        <v>0</v>
      </c>
      <c r="AA108" s="175">
        <v>0</v>
      </c>
      <c r="AB108" s="175">
        <v>0</v>
      </c>
      <c r="AC108" s="175">
        <v>0</v>
      </c>
      <c r="AD108" s="175">
        <v>0</v>
      </c>
      <c r="AE108" s="175">
        <v>0</v>
      </c>
      <c r="AF108" s="175">
        <v>0</v>
      </c>
      <c r="AG108" s="175">
        <v>0</v>
      </c>
      <c r="AH108" s="175">
        <v>7.3191999999999993E-2</v>
      </c>
      <c r="AI108" s="175">
        <v>0</v>
      </c>
      <c r="AJ108" s="175">
        <v>0</v>
      </c>
      <c r="AK108" s="175">
        <v>0</v>
      </c>
      <c r="AL108" s="175">
        <v>0</v>
      </c>
      <c r="AM108" s="175">
        <v>0</v>
      </c>
      <c r="AN108" s="174">
        <f>AU108+BB108+BI108+BP108</f>
        <v>0</v>
      </c>
      <c r="AO108" s="174">
        <f t="shared" si="160"/>
        <v>7.2999999999999995E-2</v>
      </c>
      <c r="AP108" s="174">
        <f t="shared" si="161"/>
        <v>0</v>
      </c>
      <c r="AQ108" s="174">
        <f t="shared" si="162"/>
        <v>0</v>
      </c>
      <c r="AR108" s="174">
        <f t="shared" si="163"/>
        <v>0</v>
      </c>
      <c r="AS108" s="174">
        <f t="shared" si="164"/>
        <v>0</v>
      </c>
      <c r="AT108" s="174">
        <f t="shared" si="165"/>
        <v>0</v>
      </c>
      <c r="AU108" s="174">
        <f>AU109</f>
        <v>0</v>
      </c>
      <c r="AV108" s="174">
        <f t="shared" ref="AV108:BX108" si="168">AV109</f>
        <v>0</v>
      </c>
      <c r="AW108" s="174">
        <f t="shared" si="168"/>
        <v>0</v>
      </c>
      <c r="AX108" s="174">
        <f t="shared" si="168"/>
        <v>0</v>
      </c>
      <c r="AY108" s="174">
        <f t="shared" si="168"/>
        <v>0</v>
      </c>
      <c r="AZ108" s="174">
        <f t="shared" si="168"/>
        <v>0</v>
      </c>
      <c r="BA108" s="174">
        <f t="shared" si="168"/>
        <v>0</v>
      </c>
      <c r="BB108" s="174">
        <f t="shared" si="168"/>
        <v>0</v>
      </c>
      <c r="BC108" s="174">
        <f t="shared" si="168"/>
        <v>0</v>
      </c>
      <c r="BD108" s="174">
        <f t="shared" si="168"/>
        <v>0</v>
      </c>
      <c r="BE108" s="174">
        <f t="shared" si="168"/>
        <v>0</v>
      </c>
      <c r="BF108" s="174">
        <f t="shared" si="168"/>
        <v>0</v>
      </c>
      <c r="BG108" s="174">
        <f t="shared" si="168"/>
        <v>0</v>
      </c>
      <c r="BH108" s="174">
        <f t="shared" si="168"/>
        <v>0</v>
      </c>
      <c r="BI108" s="174">
        <f t="shared" si="168"/>
        <v>0</v>
      </c>
      <c r="BJ108" s="522">
        <f t="shared" si="168"/>
        <v>7.2999999999999995E-2</v>
      </c>
      <c r="BK108" s="522">
        <f t="shared" si="168"/>
        <v>0</v>
      </c>
      <c r="BL108" s="522">
        <f t="shared" si="168"/>
        <v>0</v>
      </c>
      <c r="BM108" s="522">
        <f t="shared" si="168"/>
        <v>0</v>
      </c>
      <c r="BN108" s="522">
        <f t="shared" si="168"/>
        <v>0</v>
      </c>
      <c r="BO108" s="522">
        <f t="shared" si="168"/>
        <v>0</v>
      </c>
      <c r="BP108" s="174">
        <f t="shared" si="168"/>
        <v>0</v>
      </c>
      <c r="BQ108" s="174">
        <f t="shared" si="168"/>
        <v>0</v>
      </c>
      <c r="BR108" s="174">
        <f t="shared" si="168"/>
        <v>0</v>
      </c>
      <c r="BS108" s="174">
        <f t="shared" si="168"/>
        <v>0</v>
      </c>
      <c r="BT108" s="174">
        <f t="shared" si="168"/>
        <v>0</v>
      </c>
      <c r="BU108" s="174">
        <f t="shared" si="168"/>
        <v>0</v>
      </c>
      <c r="BV108" s="174">
        <f t="shared" si="168"/>
        <v>0</v>
      </c>
      <c r="BW108" s="174">
        <f t="shared" si="168"/>
        <v>0</v>
      </c>
      <c r="BX108" s="174">
        <f t="shared" si="168"/>
        <v>0</v>
      </c>
      <c r="BY108" s="173">
        <f t="shared" si="157"/>
        <v>1.9199999999999773E-4</v>
      </c>
      <c r="BZ108" s="67"/>
      <c r="CA108" s="136" t="e">
        <f>'10'!#REF!</f>
        <v>#REF!</v>
      </c>
      <c r="CB108" s="60"/>
    </row>
    <row r="109" spans="1:80" s="105" customFormat="1">
      <c r="A109" s="118" t="s">
        <v>952</v>
      </c>
      <c r="B109" s="144" t="s">
        <v>954</v>
      </c>
      <c r="C109" s="125" t="s">
        <v>876</v>
      </c>
      <c r="D109" s="524">
        <f t="shared" si="156"/>
        <v>7.3191999999999993E-2</v>
      </c>
      <c r="E109" s="172">
        <f t="shared" si="149"/>
        <v>0</v>
      </c>
      <c r="F109" s="172">
        <f t="shared" si="150"/>
        <v>7.3191999999999993E-2</v>
      </c>
      <c r="G109" s="172">
        <f t="shared" si="151"/>
        <v>0</v>
      </c>
      <c r="H109" s="172">
        <f t="shared" si="152"/>
        <v>0</v>
      </c>
      <c r="I109" s="172">
        <f t="shared" si="153"/>
        <v>0</v>
      </c>
      <c r="J109" s="172">
        <f t="shared" si="154"/>
        <v>0</v>
      </c>
      <c r="K109" s="172">
        <f t="shared" si="155"/>
        <v>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177">
        <v>0</v>
      </c>
      <c r="T109" s="177">
        <v>0</v>
      </c>
      <c r="U109" s="177">
        <v>0</v>
      </c>
      <c r="V109" s="177">
        <v>0</v>
      </c>
      <c r="W109" s="177">
        <v>0</v>
      </c>
      <c r="X109" s="177">
        <v>0</v>
      </c>
      <c r="Y109" s="177">
        <v>0</v>
      </c>
      <c r="Z109" s="177">
        <v>0</v>
      </c>
      <c r="AA109" s="177">
        <v>0</v>
      </c>
      <c r="AB109" s="177">
        <v>0</v>
      </c>
      <c r="AC109" s="177">
        <v>0</v>
      </c>
      <c r="AD109" s="177">
        <v>0</v>
      </c>
      <c r="AE109" s="177">
        <v>0</v>
      </c>
      <c r="AF109" s="177">
        <v>0</v>
      </c>
      <c r="AG109" s="179">
        <v>0</v>
      </c>
      <c r="AH109" s="177">
        <v>7.3191999999999993E-2</v>
      </c>
      <c r="AI109" s="179">
        <v>0</v>
      </c>
      <c r="AJ109" s="179">
        <v>0</v>
      </c>
      <c r="AK109" s="179">
        <v>0</v>
      </c>
      <c r="AL109" s="179">
        <v>0</v>
      </c>
      <c r="AM109" s="179">
        <v>0</v>
      </c>
      <c r="AN109" s="174">
        <f t="shared" si="159"/>
        <v>0</v>
      </c>
      <c r="AO109" s="174">
        <f t="shared" si="160"/>
        <v>7.2999999999999995E-2</v>
      </c>
      <c r="AP109" s="174">
        <f t="shared" si="161"/>
        <v>0</v>
      </c>
      <c r="AQ109" s="174">
        <f t="shared" si="162"/>
        <v>0</v>
      </c>
      <c r="AR109" s="174">
        <f t="shared" si="163"/>
        <v>0</v>
      </c>
      <c r="AS109" s="174">
        <f t="shared" si="164"/>
        <v>0</v>
      </c>
      <c r="AT109" s="174">
        <f t="shared" si="165"/>
        <v>0</v>
      </c>
      <c r="AU109" s="174">
        <f t="shared" ref="AU109:BV109" si="169">AU110+AU111</f>
        <v>0</v>
      </c>
      <c r="AV109" s="174">
        <f t="shared" si="169"/>
        <v>0</v>
      </c>
      <c r="AW109" s="174">
        <f t="shared" si="169"/>
        <v>0</v>
      </c>
      <c r="AX109" s="174">
        <f t="shared" si="169"/>
        <v>0</v>
      </c>
      <c r="AY109" s="174">
        <f t="shared" si="169"/>
        <v>0</v>
      </c>
      <c r="AZ109" s="174">
        <f t="shared" si="169"/>
        <v>0</v>
      </c>
      <c r="BA109" s="174">
        <f t="shared" si="169"/>
        <v>0</v>
      </c>
      <c r="BB109" s="174">
        <f t="shared" si="169"/>
        <v>0</v>
      </c>
      <c r="BC109" s="174">
        <f t="shared" si="169"/>
        <v>0</v>
      </c>
      <c r="BD109" s="174">
        <f t="shared" si="169"/>
        <v>0</v>
      </c>
      <c r="BE109" s="174">
        <f t="shared" si="169"/>
        <v>0</v>
      </c>
      <c r="BF109" s="174">
        <f t="shared" si="169"/>
        <v>0</v>
      </c>
      <c r="BG109" s="174">
        <f t="shared" si="169"/>
        <v>0</v>
      </c>
      <c r="BH109" s="174">
        <f t="shared" si="169"/>
        <v>0</v>
      </c>
      <c r="BI109" s="174">
        <f t="shared" si="169"/>
        <v>0</v>
      </c>
      <c r="BJ109" s="522">
        <f t="shared" si="169"/>
        <v>7.2999999999999995E-2</v>
      </c>
      <c r="BK109" s="522">
        <f t="shared" si="169"/>
        <v>0</v>
      </c>
      <c r="BL109" s="522">
        <f t="shared" si="169"/>
        <v>0</v>
      </c>
      <c r="BM109" s="522">
        <f t="shared" si="169"/>
        <v>0</v>
      </c>
      <c r="BN109" s="522">
        <f t="shared" si="169"/>
        <v>0</v>
      </c>
      <c r="BO109" s="522">
        <f t="shared" si="169"/>
        <v>0</v>
      </c>
      <c r="BP109" s="174">
        <f t="shared" si="169"/>
        <v>0</v>
      </c>
      <c r="BQ109" s="174">
        <f t="shared" si="169"/>
        <v>0</v>
      </c>
      <c r="BR109" s="174">
        <f t="shared" si="169"/>
        <v>0</v>
      </c>
      <c r="BS109" s="174">
        <f t="shared" si="169"/>
        <v>0</v>
      </c>
      <c r="BT109" s="174">
        <f t="shared" si="169"/>
        <v>0</v>
      </c>
      <c r="BU109" s="174">
        <f t="shared" si="169"/>
        <v>0</v>
      </c>
      <c r="BV109" s="174">
        <f t="shared" si="169"/>
        <v>0</v>
      </c>
      <c r="BW109" s="174">
        <f t="shared" si="167"/>
        <v>0</v>
      </c>
      <c r="BX109" s="219">
        <v>0</v>
      </c>
      <c r="BY109" s="173">
        <f t="shared" si="157"/>
        <v>1.9199999999999773E-4</v>
      </c>
      <c r="BZ109" s="67"/>
      <c r="CA109" s="136">
        <f>'10'!T86</f>
        <v>0</v>
      </c>
      <c r="CB109" s="60"/>
    </row>
    <row r="110" spans="1:80" s="105" customFormat="1" ht="47.25">
      <c r="A110" s="118" t="s">
        <v>955</v>
      </c>
      <c r="B110" s="141" t="s">
        <v>956</v>
      </c>
      <c r="C110" s="119" t="s">
        <v>957</v>
      </c>
      <c r="D110" s="524">
        <f t="shared" si="156"/>
        <v>7.3191999999999993E-2</v>
      </c>
      <c r="E110" s="172">
        <f t="shared" si="149"/>
        <v>0</v>
      </c>
      <c r="F110" s="172">
        <f t="shared" si="150"/>
        <v>7.3191999999999993E-2</v>
      </c>
      <c r="G110" s="172">
        <f t="shared" si="151"/>
        <v>0</v>
      </c>
      <c r="H110" s="172">
        <f t="shared" si="152"/>
        <v>0</v>
      </c>
      <c r="I110" s="172">
        <f t="shared" si="153"/>
        <v>0</v>
      </c>
      <c r="J110" s="172">
        <f t="shared" si="154"/>
        <v>0</v>
      </c>
      <c r="K110" s="172">
        <f t="shared" si="155"/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0</v>
      </c>
      <c r="T110" s="177">
        <v>0</v>
      </c>
      <c r="U110" s="177">
        <v>0</v>
      </c>
      <c r="V110" s="177">
        <v>0</v>
      </c>
      <c r="W110" s="177">
        <v>0</v>
      </c>
      <c r="X110" s="177">
        <v>0</v>
      </c>
      <c r="Y110" s="177">
        <v>0</v>
      </c>
      <c r="Z110" s="177">
        <v>0</v>
      </c>
      <c r="AA110" s="515">
        <v>0</v>
      </c>
      <c r="AB110" s="177">
        <v>0</v>
      </c>
      <c r="AC110" s="177">
        <v>0</v>
      </c>
      <c r="AD110" s="177">
        <v>0</v>
      </c>
      <c r="AE110" s="177">
        <v>0</v>
      </c>
      <c r="AF110" s="177">
        <v>0</v>
      </c>
      <c r="AG110" s="179">
        <v>0</v>
      </c>
      <c r="AH110" s="177">
        <v>7.3191999999999993E-2</v>
      </c>
      <c r="AI110" s="179">
        <v>0</v>
      </c>
      <c r="AJ110" s="179">
        <v>0</v>
      </c>
      <c r="AK110" s="179">
        <v>0</v>
      </c>
      <c r="AL110" s="179">
        <v>0</v>
      </c>
      <c r="AM110" s="179">
        <v>0</v>
      </c>
      <c r="AN110" s="174">
        <f t="shared" si="159"/>
        <v>0</v>
      </c>
      <c r="AO110" s="174">
        <f t="shared" si="160"/>
        <v>7.2999999999999995E-2</v>
      </c>
      <c r="AP110" s="174">
        <f t="shared" si="161"/>
        <v>0</v>
      </c>
      <c r="AQ110" s="174">
        <f t="shared" si="162"/>
        <v>0</v>
      </c>
      <c r="AR110" s="174">
        <f t="shared" si="163"/>
        <v>0</v>
      </c>
      <c r="AS110" s="174">
        <f t="shared" si="164"/>
        <v>0</v>
      </c>
      <c r="AT110" s="174">
        <f t="shared" si="165"/>
        <v>0</v>
      </c>
      <c r="AU110" s="174">
        <v>0</v>
      </c>
      <c r="AV110" s="174">
        <v>0</v>
      </c>
      <c r="AW110" s="174">
        <v>0</v>
      </c>
      <c r="AX110" s="174">
        <v>0</v>
      </c>
      <c r="AY110" s="174">
        <v>0</v>
      </c>
      <c r="AZ110" s="174">
        <v>0</v>
      </c>
      <c r="BA110" s="174">
        <v>0</v>
      </c>
      <c r="BB110" s="174">
        <v>0</v>
      </c>
      <c r="BC110" s="174">
        <v>0</v>
      </c>
      <c r="BD110" s="174">
        <v>0</v>
      </c>
      <c r="BE110" s="174">
        <v>0</v>
      </c>
      <c r="BF110" s="174">
        <v>0</v>
      </c>
      <c r="BG110" s="174">
        <v>0</v>
      </c>
      <c r="BH110" s="174">
        <v>0</v>
      </c>
      <c r="BI110" s="174">
        <v>0</v>
      </c>
      <c r="BJ110" s="522">
        <v>7.2999999999999995E-2</v>
      </c>
      <c r="BK110" s="522">
        <v>0</v>
      </c>
      <c r="BL110" s="522">
        <v>0</v>
      </c>
      <c r="BM110" s="522">
        <v>0</v>
      </c>
      <c r="BN110" s="522">
        <v>0</v>
      </c>
      <c r="BO110" s="522">
        <v>0</v>
      </c>
      <c r="BP110" s="174">
        <v>0</v>
      </c>
      <c r="BQ110" s="174">
        <v>0</v>
      </c>
      <c r="BR110" s="174">
        <v>0</v>
      </c>
      <c r="BS110" s="174">
        <v>0</v>
      </c>
      <c r="BT110" s="174">
        <v>0</v>
      </c>
      <c r="BU110" s="174">
        <v>0</v>
      </c>
      <c r="BV110" s="174">
        <v>0</v>
      </c>
      <c r="BW110" s="174">
        <f t="shared" si="167"/>
        <v>0</v>
      </c>
      <c r="BX110" s="219">
        <v>0</v>
      </c>
      <c r="BY110" s="174">
        <f t="shared" si="157"/>
        <v>1.9199999999999773E-4</v>
      </c>
      <c r="BZ110" s="67"/>
      <c r="CA110" s="136">
        <f>'10'!T87</f>
        <v>0</v>
      </c>
      <c r="CB110" s="60"/>
    </row>
    <row r="111" spans="1:80" s="105" customFormat="1" ht="31.5">
      <c r="A111" s="118" t="s">
        <v>958</v>
      </c>
      <c r="B111" s="141" t="s">
        <v>959</v>
      </c>
      <c r="C111" s="119" t="s">
        <v>876</v>
      </c>
      <c r="D111" s="524">
        <f t="shared" si="156"/>
        <v>0</v>
      </c>
      <c r="E111" s="172">
        <f t="shared" si="149"/>
        <v>0</v>
      </c>
      <c r="F111" s="172">
        <f t="shared" si="150"/>
        <v>0</v>
      </c>
      <c r="G111" s="172">
        <f t="shared" si="151"/>
        <v>0</v>
      </c>
      <c r="H111" s="172">
        <f t="shared" si="152"/>
        <v>0</v>
      </c>
      <c r="I111" s="172">
        <f t="shared" si="153"/>
        <v>0</v>
      </c>
      <c r="J111" s="172">
        <f t="shared" si="154"/>
        <v>0</v>
      </c>
      <c r="K111" s="172">
        <f t="shared" si="155"/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7">
        <v>0</v>
      </c>
      <c r="S111" s="177">
        <v>0</v>
      </c>
      <c r="T111" s="177">
        <v>0</v>
      </c>
      <c r="U111" s="177">
        <v>0</v>
      </c>
      <c r="V111" s="177">
        <v>0</v>
      </c>
      <c r="W111" s="177">
        <v>0</v>
      </c>
      <c r="X111" s="177">
        <v>0</v>
      </c>
      <c r="Y111" s="177">
        <v>0</v>
      </c>
      <c r="Z111" s="177">
        <v>0</v>
      </c>
      <c r="AA111" s="177">
        <v>0</v>
      </c>
      <c r="AB111" s="177">
        <v>0</v>
      </c>
      <c r="AC111" s="177">
        <v>0</v>
      </c>
      <c r="AD111" s="177">
        <v>0</v>
      </c>
      <c r="AE111" s="177">
        <v>0</v>
      </c>
      <c r="AF111" s="177">
        <v>0</v>
      </c>
      <c r="AG111" s="179">
        <v>0</v>
      </c>
      <c r="AH111" s="177">
        <v>0</v>
      </c>
      <c r="AI111" s="179">
        <v>0</v>
      </c>
      <c r="AJ111" s="179">
        <v>0</v>
      </c>
      <c r="AK111" s="179">
        <v>0</v>
      </c>
      <c r="AL111" s="179">
        <v>0</v>
      </c>
      <c r="AM111" s="179">
        <v>0</v>
      </c>
      <c r="AN111" s="174">
        <f t="shared" si="159"/>
        <v>0</v>
      </c>
      <c r="AO111" s="174">
        <f t="shared" si="160"/>
        <v>0</v>
      </c>
      <c r="AP111" s="174">
        <f t="shared" si="161"/>
        <v>0</v>
      </c>
      <c r="AQ111" s="174">
        <f t="shared" si="162"/>
        <v>0</v>
      </c>
      <c r="AR111" s="174">
        <f t="shared" si="163"/>
        <v>0</v>
      </c>
      <c r="AS111" s="174">
        <f t="shared" si="164"/>
        <v>0</v>
      </c>
      <c r="AT111" s="174">
        <f t="shared" si="165"/>
        <v>0</v>
      </c>
      <c r="AU111" s="174">
        <f t="shared" ref="AU111:BV111" si="170">AU112+AU113+AU114+AU115</f>
        <v>0</v>
      </c>
      <c r="AV111" s="174">
        <f t="shared" si="170"/>
        <v>0</v>
      </c>
      <c r="AW111" s="174">
        <f t="shared" si="170"/>
        <v>0</v>
      </c>
      <c r="AX111" s="174">
        <f t="shared" si="170"/>
        <v>0</v>
      </c>
      <c r="AY111" s="174">
        <f t="shared" si="170"/>
        <v>0</v>
      </c>
      <c r="AZ111" s="174">
        <f t="shared" si="170"/>
        <v>0</v>
      </c>
      <c r="BA111" s="174">
        <f t="shared" si="170"/>
        <v>0</v>
      </c>
      <c r="BB111" s="174">
        <f t="shared" si="170"/>
        <v>0</v>
      </c>
      <c r="BC111" s="174">
        <f t="shared" si="170"/>
        <v>0</v>
      </c>
      <c r="BD111" s="174">
        <f t="shared" si="170"/>
        <v>0</v>
      </c>
      <c r="BE111" s="174">
        <f t="shared" si="170"/>
        <v>0</v>
      </c>
      <c r="BF111" s="174">
        <f t="shared" si="170"/>
        <v>0</v>
      </c>
      <c r="BG111" s="174">
        <f t="shared" si="170"/>
        <v>0</v>
      </c>
      <c r="BH111" s="174">
        <f t="shared" si="170"/>
        <v>0</v>
      </c>
      <c r="BI111" s="174">
        <f t="shared" si="170"/>
        <v>0</v>
      </c>
      <c r="BJ111" s="522">
        <f t="shared" si="170"/>
        <v>0</v>
      </c>
      <c r="BK111" s="522">
        <f t="shared" si="170"/>
        <v>0</v>
      </c>
      <c r="BL111" s="522">
        <f t="shared" si="170"/>
        <v>0</v>
      </c>
      <c r="BM111" s="522">
        <f t="shared" si="170"/>
        <v>0</v>
      </c>
      <c r="BN111" s="522">
        <f t="shared" si="170"/>
        <v>0</v>
      </c>
      <c r="BO111" s="522">
        <f t="shared" si="170"/>
        <v>0</v>
      </c>
      <c r="BP111" s="174">
        <f t="shared" si="170"/>
        <v>0</v>
      </c>
      <c r="BQ111" s="174">
        <f t="shared" si="170"/>
        <v>0</v>
      </c>
      <c r="BR111" s="174">
        <f t="shared" si="170"/>
        <v>0</v>
      </c>
      <c r="BS111" s="174">
        <f t="shared" si="170"/>
        <v>0</v>
      </c>
      <c r="BT111" s="174">
        <f t="shared" si="170"/>
        <v>0</v>
      </c>
      <c r="BU111" s="174">
        <f t="shared" si="170"/>
        <v>0</v>
      </c>
      <c r="BV111" s="174">
        <f t="shared" si="170"/>
        <v>0</v>
      </c>
      <c r="BW111" s="174">
        <f t="shared" si="167"/>
        <v>0</v>
      </c>
      <c r="BX111" s="219">
        <v>0</v>
      </c>
      <c r="BY111" s="174">
        <f t="shared" si="157"/>
        <v>0</v>
      </c>
      <c r="BZ111" s="67"/>
      <c r="CA111" s="136">
        <f>'10'!T88</f>
        <v>0</v>
      </c>
      <c r="CB111" s="60"/>
    </row>
    <row r="112" spans="1:80" s="105" customFormat="1" ht="47.25">
      <c r="A112" s="118" t="s">
        <v>960</v>
      </c>
      <c r="B112" s="141" t="s">
        <v>961</v>
      </c>
      <c r="C112" s="119" t="s">
        <v>962</v>
      </c>
      <c r="D112" s="524">
        <f t="shared" si="156"/>
        <v>0</v>
      </c>
      <c r="E112" s="172">
        <f t="shared" si="149"/>
        <v>0</v>
      </c>
      <c r="F112" s="172">
        <f t="shared" si="150"/>
        <v>0</v>
      </c>
      <c r="G112" s="172">
        <f t="shared" si="151"/>
        <v>0</v>
      </c>
      <c r="H112" s="172">
        <f t="shared" si="152"/>
        <v>0</v>
      </c>
      <c r="I112" s="172">
        <f t="shared" si="153"/>
        <v>0</v>
      </c>
      <c r="J112" s="172">
        <f t="shared" si="154"/>
        <v>0</v>
      </c>
      <c r="K112" s="172">
        <f t="shared" si="155"/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77">
        <v>0</v>
      </c>
      <c r="T112" s="177">
        <v>0</v>
      </c>
      <c r="U112" s="177">
        <v>0</v>
      </c>
      <c r="V112" s="177">
        <v>0</v>
      </c>
      <c r="W112" s="177">
        <v>0</v>
      </c>
      <c r="X112" s="177">
        <v>0</v>
      </c>
      <c r="Y112" s="177">
        <v>0</v>
      </c>
      <c r="Z112" s="177">
        <v>0</v>
      </c>
      <c r="AA112" s="177">
        <v>0</v>
      </c>
      <c r="AB112" s="177">
        <v>0</v>
      </c>
      <c r="AC112" s="177">
        <v>0</v>
      </c>
      <c r="AD112" s="177">
        <v>0</v>
      </c>
      <c r="AE112" s="177">
        <v>0</v>
      </c>
      <c r="AF112" s="177">
        <v>0</v>
      </c>
      <c r="AG112" s="179">
        <v>0</v>
      </c>
      <c r="AH112" s="177">
        <v>0</v>
      </c>
      <c r="AI112" s="179">
        <v>0</v>
      </c>
      <c r="AJ112" s="179">
        <v>0</v>
      </c>
      <c r="AK112" s="179">
        <v>0</v>
      </c>
      <c r="AL112" s="179">
        <v>0</v>
      </c>
      <c r="AM112" s="179">
        <v>0</v>
      </c>
      <c r="AN112" s="174">
        <f t="shared" si="159"/>
        <v>0</v>
      </c>
      <c r="AO112" s="174">
        <f t="shared" si="160"/>
        <v>0</v>
      </c>
      <c r="AP112" s="174">
        <f t="shared" si="161"/>
        <v>0</v>
      </c>
      <c r="AQ112" s="174">
        <f t="shared" si="162"/>
        <v>0</v>
      </c>
      <c r="AR112" s="174">
        <f t="shared" si="163"/>
        <v>0</v>
      </c>
      <c r="AS112" s="174">
        <f t="shared" si="164"/>
        <v>0</v>
      </c>
      <c r="AT112" s="174">
        <f t="shared" si="165"/>
        <v>0</v>
      </c>
      <c r="AU112" s="176">
        <v>0</v>
      </c>
      <c r="AV112" s="176">
        <v>0</v>
      </c>
      <c r="AW112" s="176">
        <v>0</v>
      </c>
      <c r="AX112" s="176">
        <v>0</v>
      </c>
      <c r="AY112" s="176">
        <v>0</v>
      </c>
      <c r="AZ112" s="176">
        <v>0</v>
      </c>
      <c r="BA112" s="176">
        <v>0</v>
      </c>
      <c r="BB112" s="176">
        <v>0</v>
      </c>
      <c r="BC112" s="176">
        <v>0</v>
      </c>
      <c r="BD112" s="174">
        <v>0</v>
      </c>
      <c r="BE112" s="174">
        <v>0</v>
      </c>
      <c r="BF112" s="174">
        <v>0</v>
      </c>
      <c r="BG112" s="174">
        <v>0</v>
      </c>
      <c r="BH112" s="174">
        <v>0</v>
      </c>
      <c r="BI112" s="174">
        <v>0</v>
      </c>
      <c r="BJ112" s="522">
        <v>0</v>
      </c>
      <c r="BK112" s="522">
        <v>0</v>
      </c>
      <c r="BL112" s="522">
        <v>0</v>
      </c>
      <c r="BM112" s="522">
        <v>0</v>
      </c>
      <c r="BN112" s="522">
        <v>0</v>
      </c>
      <c r="BO112" s="522">
        <v>0</v>
      </c>
      <c r="BP112" s="174">
        <v>0</v>
      </c>
      <c r="BQ112" s="174">
        <v>0</v>
      </c>
      <c r="BR112" s="174">
        <v>0</v>
      </c>
      <c r="BS112" s="174">
        <v>0</v>
      </c>
      <c r="BT112" s="174">
        <v>0</v>
      </c>
      <c r="BU112" s="174">
        <v>0</v>
      </c>
      <c r="BV112" s="174">
        <v>0</v>
      </c>
      <c r="BW112" s="174">
        <f t="shared" si="167"/>
        <v>0</v>
      </c>
      <c r="BX112" s="219">
        <v>0</v>
      </c>
      <c r="BY112" s="174">
        <f t="shared" si="157"/>
        <v>0</v>
      </c>
      <c r="BZ112" s="67"/>
      <c r="CA112" s="136">
        <f>'10'!T89</f>
        <v>0</v>
      </c>
      <c r="CB112" s="60"/>
    </row>
    <row r="113" spans="1:80" s="105" customFormat="1" ht="47.25">
      <c r="A113" s="118" t="s">
        <v>963</v>
      </c>
      <c r="B113" s="141" t="s">
        <v>964</v>
      </c>
      <c r="C113" s="119" t="s">
        <v>965</v>
      </c>
      <c r="D113" s="524">
        <f t="shared" si="156"/>
        <v>0</v>
      </c>
      <c r="E113" s="172">
        <f t="shared" si="149"/>
        <v>0</v>
      </c>
      <c r="F113" s="172">
        <f t="shared" si="150"/>
        <v>0</v>
      </c>
      <c r="G113" s="172">
        <f t="shared" si="151"/>
        <v>0</v>
      </c>
      <c r="H113" s="172">
        <f t="shared" si="152"/>
        <v>0</v>
      </c>
      <c r="I113" s="172">
        <f t="shared" si="153"/>
        <v>0</v>
      </c>
      <c r="J113" s="172">
        <f t="shared" si="154"/>
        <v>0</v>
      </c>
      <c r="K113" s="172">
        <f t="shared" si="155"/>
        <v>0</v>
      </c>
      <c r="L113" s="177">
        <v>0</v>
      </c>
      <c r="M113" s="177">
        <v>0</v>
      </c>
      <c r="N113" s="177">
        <v>0</v>
      </c>
      <c r="O113" s="177">
        <v>0</v>
      </c>
      <c r="P113" s="177">
        <v>0</v>
      </c>
      <c r="Q113" s="177">
        <v>0</v>
      </c>
      <c r="R113" s="177">
        <v>0</v>
      </c>
      <c r="S113" s="177">
        <v>0</v>
      </c>
      <c r="T113" s="177">
        <v>0</v>
      </c>
      <c r="U113" s="177">
        <v>0</v>
      </c>
      <c r="V113" s="177">
        <v>0</v>
      </c>
      <c r="W113" s="177">
        <v>0</v>
      </c>
      <c r="X113" s="177">
        <v>0</v>
      </c>
      <c r="Y113" s="177">
        <v>0</v>
      </c>
      <c r="Z113" s="177">
        <v>0</v>
      </c>
      <c r="AA113" s="177">
        <v>0</v>
      </c>
      <c r="AB113" s="177">
        <v>0</v>
      </c>
      <c r="AC113" s="177">
        <v>0</v>
      </c>
      <c r="AD113" s="177">
        <v>0</v>
      </c>
      <c r="AE113" s="177">
        <v>0</v>
      </c>
      <c r="AF113" s="177">
        <v>0</v>
      </c>
      <c r="AG113" s="179">
        <v>0</v>
      </c>
      <c r="AH113" s="177">
        <v>0</v>
      </c>
      <c r="AI113" s="179">
        <v>0</v>
      </c>
      <c r="AJ113" s="179">
        <v>0</v>
      </c>
      <c r="AK113" s="179">
        <v>0</v>
      </c>
      <c r="AL113" s="179">
        <v>0</v>
      </c>
      <c r="AM113" s="179">
        <v>0</v>
      </c>
      <c r="AN113" s="174">
        <f t="shared" si="159"/>
        <v>0</v>
      </c>
      <c r="AO113" s="174">
        <f t="shared" si="160"/>
        <v>0</v>
      </c>
      <c r="AP113" s="174">
        <f t="shared" si="161"/>
        <v>0</v>
      </c>
      <c r="AQ113" s="174">
        <f t="shared" si="162"/>
        <v>0</v>
      </c>
      <c r="AR113" s="174">
        <f t="shared" si="163"/>
        <v>0</v>
      </c>
      <c r="AS113" s="174">
        <f t="shared" si="164"/>
        <v>0</v>
      </c>
      <c r="AT113" s="174">
        <f t="shared" si="165"/>
        <v>0</v>
      </c>
      <c r="AU113" s="176">
        <v>0</v>
      </c>
      <c r="AV113" s="176">
        <v>0</v>
      </c>
      <c r="AW113" s="176">
        <v>0</v>
      </c>
      <c r="AX113" s="176">
        <v>0</v>
      </c>
      <c r="AY113" s="176">
        <v>0</v>
      </c>
      <c r="AZ113" s="176">
        <v>0</v>
      </c>
      <c r="BA113" s="176">
        <v>0</v>
      </c>
      <c r="BB113" s="176">
        <v>0</v>
      </c>
      <c r="BC113" s="176">
        <v>0</v>
      </c>
      <c r="BD113" s="174">
        <v>0</v>
      </c>
      <c r="BE113" s="174">
        <v>0</v>
      </c>
      <c r="BF113" s="174">
        <v>0</v>
      </c>
      <c r="BG113" s="174">
        <v>0</v>
      </c>
      <c r="BH113" s="174">
        <v>0</v>
      </c>
      <c r="BI113" s="174">
        <v>0</v>
      </c>
      <c r="BJ113" s="522">
        <v>0</v>
      </c>
      <c r="BK113" s="522">
        <v>0</v>
      </c>
      <c r="BL113" s="522">
        <v>0</v>
      </c>
      <c r="BM113" s="522">
        <v>0</v>
      </c>
      <c r="BN113" s="522">
        <v>0</v>
      </c>
      <c r="BO113" s="522">
        <v>0</v>
      </c>
      <c r="BP113" s="174">
        <v>0</v>
      </c>
      <c r="BQ113" s="174">
        <v>0</v>
      </c>
      <c r="BR113" s="174">
        <v>0</v>
      </c>
      <c r="BS113" s="174">
        <v>0</v>
      </c>
      <c r="BT113" s="174">
        <v>0</v>
      </c>
      <c r="BU113" s="174">
        <v>0</v>
      </c>
      <c r="BV113" s="174">
        <v>0</v>
      </c>
      <c r="BW113" s="174">
        <f t="shared" si="167"/>
        <v>0</v>
      </c>
      <c r="BX113" s="219">
        <v>0</v>
      </c>
      <c r="BY113" s="174">
        <f t="shared" si="157"/>
        <v>0</v>
      </c>
      <c r="BZ113" s="67"/>
      <c r="CA113" s="136">
        <f>'10'!T90</f>
        <v>0</v>
      </c>
      <c r="CB113" s="60"/>
    </row>
    <row r="114" spans="1:80" s="105" customFormat="1" ht="47.25">
      <c r="A114" s="118" t="s">
        <v>966</v>
      </c>
      <c r="B114" s="141" t="s">
        <v>967</v>
      </c>
      <c r="C114" s="119" t="s">
        <v>968</v>
      </c>
      <c r="D114" s="524">
        <f t="shared" si="156"/>
        <v>0</v>
      </c>
      <c r="E114" s="172">
        <f t="shared" si="149"/>
        <v>0</v>
      </c>
      <c r="F114" s="172">
        <f t="shared" si="150"/>
        <v>0</v>
      </c>
      <c r="G114" s="172">
        <f t="shared" si="151"/>
        <v>0</v>
      </c>
      <c r="H114" s="172">
        <f t="shared" si="152"/>
        <v>0</v>
      </c>
      <c r="I114" s="172">
        <f t="shared" si="153"/>
        <v>0</v>
      </c>
      <c r="J114" s="172">
        <f t="shared" si="154"/>
        <v>0</v>
      </c>
      <c r="K114" s="172">
        <f t="shared" si="155"/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77">
        <v>0</v>
      </c>
      <c r="T114" s="177">
        <v>0</v>
      </c>
      <c r="U114" s="177">
        <v>0</v>
      </c>
      <c r="V114" s="177">
        <v>0</v>
      </c>
      <c r="W114" s="177">
        <v>0</v>
      </c>
      <c r="X114" s="177">
        <v>0</v>
      </c>
      <c r="Y114" s="177">
        <v>0</v>
      </c>
      <c r="Z114" s="177">
        <v>0</v>
      </c>
      <c r="AA114" s="177">
        <v>0</v>
      </c>
      <c r="AB114" s="177">
        <v>0</v>
      </c>
      <c r="AC114" s="177">
        <v>0</v>
      </c>
      <c r="AD114" s="177">
        <v>0</v>
      </c>
      <c r="AE114" s="177">
        <v>0</v>
      </c>
      <c r="AF114" s="177">
        <v>0</v>
      </c>
      <c r="AG114" s="179">
        <v>0</v>
      </c>
      <c r="AH114" s="177">
        <v>0</v>
      </c>
      <c r="AI114" s="179">
        <v>0</v>
      </c>
      <c r="AJ114" s="179">
        <v>0</v>
      </c>
      <c r="AK114" s="179">
        <v>0</v>
      </c>
      <c r="AL114" s="179">
        <v>0</v>
      </c>
      <c r="AM114" s="179">
        <v>0</v>
      </c>
      <c r="AN114" s="174">
        <f t="shared" si="159"/>
        <v>0</v>
      </c>
      <c r="AO114" s="174">
        <f t="shared" si="160"/>
        <v>0</v>
      </c>
      <c r="AP114" s="174">
        <f t="shared" si="161"/>
        <v>0</v>
      </c>
      <c r="AQ114" s="174">
        <f t="shared" si="162"/>
        <v>0</v>
      </c>
      <c r="AR114" s="174">
        <f t="shared" si="163"/>
        <v>0</v>
      </c>
      <c r="AS114" s="174">
        <f t="shared" si="164"/>
        <v>0</v>
      </c>
      <c r="AT114" s="174">
        <f t="shared" si="165"/>
        <v>0</v>
      </c>
      <c r="AU114" s="176">
        <v>0</v>
      </c>
      <c r="AV114" s="176">
        <v>0</v>
      </c>
      <c r="AW114" s="176">
        <v>0</v>
      </c>
      <c r="AX114" s="176">
        <v>0</v>
      </c>
      <c r="AY114" s="176">
        <v>0</v>
      </c>
      <c r="AZ114" s="176">
        <v>0</v>
      </c>
      <c r="BA114" s="176">
        <v>0</v>
      </c>
      <c r="BB114" s="176">
        <v>0</v>
      </c>
      <c r="BC114" s="176">
        <v>0</v>
      </c>
      <c r="BD114" s="174">
        <v>0</v>
      </c>
      <c r="BE114" s="174">
        <v>0</v>
      </c>
      <c r="BF114" s="174">
        <v>0</v>
      </c>
      <c r="BG114" s="174">
        <v>0</v>
      </c>
      <c r="BH114" s="174">
        <v>0</v>
      </c>
      <c r="BI114" s="174">
        <v>0</v>
      </c>
      <c r="BJ114" s="522">
        <v>0</v>
      </c>
      <c r="BK114" s="522">
        <v>0</v>
      </c>
      <c r="BL114" s="522">
        <v>0</v>
      </c>
      <c r="BM114" s="522">
        <v>0</v>
      </c>
      <c r="BN114" s="522">
        <v>0</v>
      </c>
      <c r="BO114" s="522">
        <v>0</v>
      </c>
      <c r="BP114" s="174">
        <v>0</v>
      </c>
      <c r="BQ114" s="174">
        <v>0</v>
      </c>
      <c r="BR114" s="174">
        <v>0</v>
      </c>
      <c r="BS114" s="174">
        <v>0</v>
      </c>
      <c r="BT114" s="174">
        <v>0</v>
      </c>
      <c r="BU114" s="174">
        <v>0</v>
      </c>
      <c r="BV114" s="174">
        <v>0</v>
      </c>
      <c r="BW114" s="174">
        <f t="shared" si="167"/>
        <v>0</v>
      </c>
      <c r="BX114" s="219">
        <v>0</v>
      </c>
      <c r="BY114" s="174">
        <f t="shared" si="157"/>
        <v>0</v>
      </c>
      <c r="BZ114" s="67"/>
      <c r="CA114" s="136">
        <f>'10'!T91</f>
        <v>0</v>
      </c>
      <c r="CB114" s="60"/>
    </row>
    <row r="115" spans="1:80" s="105" customFormat="1" ht="47.25">
      <c r="A115" s="118" t="s">
        <v>969</v>
      </c>
      <c r="B115" s="141" t="s">
        <v>970</v>
      </c>
      <c r="C115" s="119" t="s">
        <v>971</v>
      </c>
      <c r="D115" s="524">
        <f t="shared" si="156"/>
        <v>0</v>
      </c>
      <c r="E115" s="172">
        <f t="shared" si="149"/>
        <v>0</v>
      </c>
      <c r="F115" s="172">
        <f t="shared" si="150"/>
        <v>0</v>
      </c>
      <c r="G115" s="172">
        <f t="shared" si="151"/>
        <v>0</v>
      </c>
      <c r="H115" s="172">
        <f t="shared" si="152"/>
        <v>0</v>
      </c>
      <c r="I115" s="172">
        <f t="shared" si="153"/>
        <v>0</v>
      </c>
      <c r="J115" s="172">
        <f t="shared" si="154"/>
        <v>0</v>
      </c>
      <c r="K115" s="172">
        <f t="shared" si="155"/>
        <v>0</v>
      </c>
      <c r="L115" s="177">
        <v>0</v>
      </c>
      <c r="M115" s="177">
        <v>0</v>
      </c>
      <c r="N115" s="177">
        <v>0</v>
      </c>
      <c r="O115" s="177">
        <v>0</v>
      </c>
      <c r="P115" s="177">
        <v>0</v>
      </c>
      <c r="Q115" s="177">
        <v>0</v>
      </c>
      <c r="R115" s="177">
        <v>0</v>
      </c>
      <c r="S115" s="177">
        <v>0</v>
      </c>
      <c r="T115" s="177">
        <v>0</v>
      </c>
      <c r="U115" s="177">
        <v>0</v>
      </c>
      <c r="V115" s="177">
        <v>0</v>
      </c>
      <c r="W115" s="177">
        <v>0</v>
      </c>
      <c r="X115" s="177">
        <v>0</v>
      </c>
      <c r="Y115" s="177">
        <v>0</v>
      </c>
      <c r="Z115" s="177">
        <v>0</v>
      </c>
      <c r="AA115" s="177">
        <v>0</v>
      </c>
      <c r="AB115" s="177">
        <v>0</v>
      </c>
      <c r="AC115" s="177">
        <v>0</v>
      </c>
      <c r="AD115" s="177">
        <v>0</v>
      </c>
      <c r="AE115" s="177">
        <v>0</v>
      </c>
      <c r="AF115" s="177">
        <v>0</v>
      </c>
      <c r="AG115" s="179">
        <v>0</v>
      </c>
      <c r="AH115" s="177">
        <v>0</v>
      </c>
      <c r="AI115" s="179">
        <v>0</v>
      </c>
      <c r="AJ115" s="179">
        <v>0</v>
      </c>
      <c r="AK115" s="179">
        <v>0</v>
      </c>
      <c r="AL115" s="179">
        <v>0</v>
      </c>
      <c r="AM115" s="179">
        <v>0</v>
      </c>
      <c r="AN115" s="174">
        <f t="shared" si="159"/>
        <v>0</v>
      </c>
      <c r="AO115" s="174">
        <f t="shared" si="160"/>
        <v>0</v>
      </c>
      <c r="AP115" s="174">
        <f t="shared" si="161"/>
        <v>0</v>
      </c>
      <c r="AQ115" s="174">
        <f t="shared" si="162"/>
        <v>0</v>
      </c>
      <c r="AR115" s="174">
        <f t="shared" si="163"/>
        <v>0</v>
      </c>
      <c r="AS115" s="174">
        <f t="shared" si="164"/>
        <v>0</v>
      </c>
      <c r="AT115" s="174">
        <f t="shared" si="165"/>
        <v>0</v>
      </c>
      <c r="AU115" s="176">
        <v>0</v>
      </c>
      <c r="AV115" s="176">
        <v>0</v>
      </c>
      <c r="AW115" s="176">
        <v>0</v>
      </c>
      <c r="AX115" s="176">
        <v>0</v>
      </c>
      <c r="AY115" s="176">
        <v>0</v>
      </c>
      <c r="AZ115" s="176">
        <v>0</v>
      </c>
      <c r="BA115" s="176">
        <v>0</v>
      </c>
      <c r="BB115" s="176">
        <v>0</v>
      </c>
      <c r="BC115" s="176">
        <v>0</v>
      </c>
      <c r="BD115" s="174">
        <v>0</v>
      </c>
      <c r="BE115" s="174">
        <v>0</v>
      </c>
      <c r="BF115" s="174">
        <v>0</v>
      </c>
      <c r="BG115" s="174">
        <v>0</v>
      </c>
      <c r="BH115" s="174">
        <v>0</v>
      </c>
      <c r="BI115" s="174">
        <v>0</v>
      </c>
      <c r="BJ115" s="522">
        <v>0</v>
      </c>
      <c r="BK115" s="522">
        <v>0</v>
      </c>
      <c r="BL115" s="522">
        <v>0</v>
      </c>
      <c r="BM115" s="522">
        <v>0</v>
      </c>
      <c r="BN115" s="522">
        <v>0</v>
      </c>
      <c r="BO115" s="522">
        <v>0</v>
      </c>
      <c r="BP115" s="174">
        <v>0</v>
      </c>
      <c r="BQ115" s="174">
        <v>0</v>
      </c>
      <c r="BR115" s="174">
        <v>0</v>
      </c>
      <c r="BS115" s="174">
        <v>0</v>
      </c>
      <c r="BT115" s="174">
        <v>0</v>
      </c>
      <c r="BU115" s="174">
        <v>0</v>
      </c>
      <c r="BV115" s="174">
        <v>0</v>
      </c>
      <c r="BW115" s="174">
        <f t="shared" si="167"/>
        <v>0</v>
      </c>
      <c r="BX115" s="219">
        <v>0</v>
      </c>
      <c r="BY115" s="174">
        <f t="shared" si="157"/>
        <v>0</v>
      </c>
      <c r="BZ115" s="67"/>
      <c r="CA115" s="136">
        <f>'10'!T92</f>
        <v>0</v>
      </c>
      <c r="CB115" s="60"/>
    </row>
    <row r="116" spans="1:80" ht="47.25" customHeight="1">
      <c r="A116" s="696" t="s">
        <v>21</v>
      </c>
      <c r="B116" s="696"/>
      <c r="C116" s="696"/>
      <c r="D116" s="173">
        <f>D24</f>
        <v>10.551584542372881</v>
      </c>
      <c r="E116" s="173">
        <f t="shared" ref="E116:BP116" si="171">E24</f>
        <v>0</v>
      </c>
      <c r="F116" s="173">
        <f t="shared" si="171"/>
        <v>10.551584542372881</v>
      </c>
      <c r="G116" s="173">
        <f t="shared" si="171"/>
        <v>0.25</v>
      </c>
      <c r="H116" s="173">
        <f t="shared" si="171"/>
        <v>0</v>
      </c>
      <c r="I116" s="173">
        <f t="shared" si="171"/>
        <v>4.6349999999999998</v>
      </c>
      <c r="J116" s="173">
        <f t="shared" si="171"/>
        <v>0</v>
      </c>
      <c r="K116" s="173">
        <f t="shared" si="171"/>
        <v>0</v>
      </c>
      <c r="L116" s="173">
        <f t="shared" si="171"/>
        <v>0</v>
      </c>
      <c r="M116" s="173">
        <f t="shared" si="171"/>
        <v>0</v>
      </c>
      <c r="N116" s="173">
        <f t="shared" si="171"/>
        <v>0</v>
      </c>
      <c r="O116" s="173">
        <f t="shared" si="171"/>
        <v>0</v>
      </c>
      <c r="P116" s="173">
        <f t="shared" si="171"/>
        <v>0</v>
      </c>
      <c r="Q116" s="173">
        <f t="shared" si="171"/>
        <v>0</v>
      </c>
      <c r="R116" s="173">
        <f t="shared" si="171"/>
        <v>0</v>
      </c>
      <c r="S116" s="173">
        <f t="shared" si="171"/>
        <v>0</v>
      </c>
      <c r="T116" s="173">
        <f t="shared" si="171"/>
        <v>0</v>
      </c>
      <c r="U116" s="173">
        <f t="shared" si="171"/>
        <v>0</v>
      </c>
      <c r="V116" s="173">
        <f t="shared" si="171"/>
        <v>0</v>
      </c>
      <c r="W116" s="173">
        <f t="shared" si="171"/>
        <v>0</v>
      </c>
      <c r="X116" s="173">
        <f t="shared" si="171"/>
        <v>0</v>
      </c>
      <c r="Y116" s="173">
        <f t="shared" si="171"/>
        <v>0</v>
      </c>
      <c r="Z116" s="173">
        <f t="shared" si="171"/>
        <v>0</v>
      </c>
      <c r="AA116" s="173">
        <f t="shared" si="171"/>
        <v>0</v>
      </c>
      <c r="AB116" s="173">
        <f t="shared" si="171"/>
        <v>0</v>
      </c>
      <c r="AC116" s="173">
        <f t="shared" si="171"/>
        <v>0</v>
      </c>
      <c r="AD116" s="173">
        <f t="shared" si="171"/>
        <v>0</v>
      </c>
      <c r="AE116" s="173">
        <f t="shared" si="171"/>
        <v>0</v>
      </c>
      <c r="AF116" s="173">
        <f t="shared" si="171"/>
        <v>0</v>
      </c>
      <c r="AG116" s="173">
        <f t="shared" si="171"/>
        <v>0</v>
      </c>
      <c r="AH116" s="173">
        <f t="shared" si="171"/>
        <v>10.551584542372881</v>
      </c>
      <c r="AI116" s="173">
        <f t="shared" si="171"/>
        <v>0.25</v>
      </c>
      <c r="AJ116" s="173">
        <f t="shared" si="171"/>
        <v>0</v>
      </c>
      <c r="AK116" s="173">
        <f t="shared" si="171"/>
        <v>4.2750000000000004</v>
      </c>
      <c r="AL116" s="173">
        <f t="shared" si="171"/>
        <v>0</v>
      </c>
      <c r="AM116" s="173">
        <f t="shared" si="171"/>
        <v>0</v>
      </c>
      <c r="AN116" s="173">
        <f t="shared" si="171"/>
        <v>0</v>
      </c>
      <c r="AO116" s="173">
        <f t="shared" si="171"/>
        <v>10.050932971355932</v>
      </c>
      <c r="AP116" s="173">
        <f t="shared" si="171"/>
        <v>0</v>
      </c>
      <c r="AQ116" s="173">
        <f t="shared" si="171"/>
        <v>0</v>
      </c>
      <c r="AR116" s="173">
        <f t="shared" si="171"/>
        <v>7.5520000000000005</v>
      </c>
      <c r="AS116" s="173">
        <f t="shared" si="171"/>
        <v>0</v>
      </c>
      <c r="AT116" s="173">
        <f t="shared" si="171"/>
        <v>0</v>
      </c>
      <c r="AU116" s="173">
        <f t="shared" si="171"/>
        <v>0</v>
      </c>
      <c r="AV116" s="173">
        <f t="shared" si="171"/>
        <v>0.41538325000000004</v>
      </c>
      <c r="AW116" s="173">
        <f t="shared" si="171"/>
        <v>0</v>
      </c>
      <c r="AX116" s="173">
        <f t="shared" si="171"/>
        <v>0</v>
      </c>
      <c r="AY116" s="173">
        <f t="shared" si="171"/>
        <v>0.3</v>
      </c>
      <c r="AZ116" s="173">
        <f t="shared" si="171"/>
        <v>0</v>
      </c>
      <c r="BA116" s="173">
        <f t="shared" si="171"/>
        <v>0</v>
      </c>
      <c r="BB116" s="173">
        <f t="shared" si="171"/>
        <v>0</v>
      </c>
      <c r="BC116" s="173">
        <f t="shared" si="171"/>
        <v>1.2988735299999998</v>
      </c>
      <c r="BD116" s="173">
        <f t="shared" si="171"/>
        <v>0</v>
      </c>
      <c r="BE116" s="173">
        <f t="shared" si="171"/>
        <v>0</v>
      </c>
      <c r="BF116" s="173">
        <f t="shared" si="171"/>
        <v>1.28</v>
      </c>
      <c r="BG116" s="173">
        <f t="shared" si="171"/>
        <v>0</v>
      </c>
      <c r="BH116" s="173">
        <f t="shared" si="171"/>
        <v>0</v>
      </c>
      <c r="BI116" s="173">
        <f t="shared" si="171"/>
        <v>0</v>
      </c>
      <c r="BJ116" s="523">
        <f t="shared" si="171"/>
        <v>0.89115051999999995</v>
      </c>
      <c r="BK116" s="523">
        <f t="shared" si="171"/>
        <v>0</v>
      </c>
      <c r="BL116" s="523">
        <f t="shared" si="171"/>
        <v>0</v>
      </c>
      <c r="BM116" s="523">
        <f t="shared" si="171"/>
        <v>0.90500000000000003</v>
      </c>
      <c r="BN116" s="523">
        <f t="shared" si="171"/>
        <v>0</v>
      </c>
      <c r="BO116" s="523">
        <f t="shared" si="171"/>
        <v>0</v>
      </c>
      <c r="BP116" s="173">
        <f t="shared" si="171"/>
        <v>0</v>
      </c>
      <c r="BQ116" s="173">
        <f t="shared" ref="BQ116:BX116" si="172">BQ24</f>
        <v>7.4455256713559317</v>
      </c>
      <c r="BR116" s="173">
        <f t="shared" si="172"/>
        <v>0</v>
      </c>
      <c r="BS116" s="173">
        <f t="shared" si="172"/>
        <v>0</v>
      </c>
      <c r="BT116" s="173">
        <f t="shared" si="172"/>
        <v>5.0670000000000002</v>
      </c>
      <c r="BU116" s="173">
        <f t="shared" si="172"/>
        <v>0</v>
      </c>
      <c r="BV116" s="173">
        <f t="shared" si="172"/>
        <v>0</v>
      </c>
      <c r="BW116" s="173">
        <f t="shared" si="172"/>
        <v>0</v>
      </c>
      <c r="BX116" s="173">
        <f t="shared" si="172"/>
        <v>0</v>
      </c>
      <c r="BY116" s="173">
        <f t="shared" si="157"/>
        <v>0.50065157101694879</v>
      </c>
      <c r="BZ116" s="68"/>
      <c r="CA116" s="68"/>
    </row>
  </sheetData>
  <autoFilter ref="A23:CB116"/>
  <mergeCells count="39">
    <mergeCell ref="AH21:AM21"/>
    <mergeCell ref="BY21:BZ21"/>
    <mergeCell ref="AO21:AT21"/>
    <mergeCell ref="AV21:BA21"/>
    <mergeCell ref="BJ21:BO21"/>
    <mergeCell ref="BQ21:BV21"/>
    <mergeCell ref="BW21:BX21"/>
    <mergeCell ref="A6:CA6"/>
    <mergeCell ref="A8:CA8"/>
    <mergeCell ref="A10:BZ10"/>
    <mergeCell ref="A12:CA12"/>
    <mergeCell ref="BI20:BO20"/>
    <mergeCell ref="BP20:BV20"/>
    <mergeCell ref="A14:CA14"/>
    <mergeCell ref="A15:CA15"/>
    <mergeCell ref="A18:A22"/>
    <mergeCell ref="E18:BV18"/>
    <mergeCell ref="BC21:BH21"/>
    <mergeCell ref="CA18:CA22"/>
    <mergeCell ref="A7:CA7"/>
    <mergeCell ref="M21:R21"/>
    <mergeCell ref="T21:Y21"/>
    <mergeCell ref="AA21:AF21"/>
    <mergeCell ref="A116:C116"/>
    <mergeCell ref="BW18:BZ20"/>
    <mergeCell ref="E20:K20"/>
    <mergeCell ref="L20:R20"/>
    <mergeCell ref="S20:Y20"/>
    <mergeCell ref="Z20:AF20"/>
    <mergeCell ref="AG20:AM20"/>
    <mergeCell ref="F21:K21"/>
    <mergeCell ref="AN19:BV19"/>
    <mergeCell ref="AN20:AT20"/>
    <mergeCell ref="AU20:BA20"/>
    <mergeCell ref="BB20:BH20"/>
    <mergeCell ref="B18:B22"/>
    <mergeCell ref="C18:C22"/>
    <mergeCell ref="D18:D22"/>
    <mergeCell ref="E19:AM19"/>
  </mergeCells>
  <pageMargins left="0.21" right="0.2" top="0.3" bottom="0.26" header="0.31496062992125984" footer="0.31496062992125984"/>
  <pageSetup paperSize="9" scale="13" fitToHeight="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H113"/>
  <sheetViews>
    <sheetView view="pageBreakPreview" topLeftCell="D1" zoomScale="60" zoomScaleNormal="55" workbookViewId="0">
      <selection activeCell="V16" sqref="V16"/>
    </sheetView>
  </sheetViews>
  <sheetFormatPr defaultRowHeight="15.75" outlineLevelCol="1"/>
  <cols>
    <col min="1" max="1" width="9.140625" style="7"/>
    <col min="2" max="2" width="37.85546875" style="54" customWidth="1"/>
    <col min="3" max="3" width="22.7109375" style="54" customWidth="1"/>
    <col min="4" max="4" width="22.5703125" style="54" customWidth="1"/>
    <col min="5" max="9" width="9.140625" style="54"/>
    <col min="10" max="14" width="14.42578125" style="54" bestFit="1" customWidth="1"/>
    <col min="15" max="24" width="13" style="54" customWidth="1" outlineLevel="1"/>
    <col min="25" max="34" width="9.140625" style="54" customWidth="1" outlineLevel="1"/>
  </cols>
  <sheetData>
    <row r="1" spans="1:34">
      <c r="A1" s="691" t="s">
        <v>572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</row>
    <row r="2" spans="1:34">
      <c r="A2" s="691" t="s">
        <v>573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</row>
    <row r="3" spans="1:34">
      <c r="A3" s="691" t="s">
        <v>1188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</row>
    <row r="5" spans="1:34">
      <c r="A5" s="694" t="s">
        <v>727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694"/>
      <c r="AA5" s="694"/>
      <c r="AB5" s="694"/>
      <c r="AC5" s="694"/>
      <c r="AD5" s="694"/>
      <c r="AE5" s="694"/>
      <c r="AF5" s="694"/>
      <c r="AG5" s="694"/>
      <c r="AH5" s="694"/>
    </row>
    <row r="7" spans="1:34">
      <c r="A7" s="693" t="s">
        <v>725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3"/>
      <c r="AB7" s="693"/>
      <c r="AC7" s="693"/>
      <c r="AD7" s="693"/>
      <c r="AE7" s="693"/>
      <c r="AF7" s="693"/>
      <c r="AG7" s="693"/>
      <c r="AH7" s="693"/>
    </row>
    <row r="9" spans="1:34">
      <c r="A9" s="693" t="s">
        <v>34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693"/>
      <c r="R9" s="693"/>
      <c r="S9" s="693"/>
      <c r="T9" s="693"/>
      <c r="U9" s="693"/>
      <c r="V9" s="693"/>
      <c r="W9" s="693"/>
      <c r="X9" s="693"/>
      <c r="Y9" s="693"/>
      <c r="Z9" s="693"/>
      <c r="AA9" s="693"/>
      <c r="AB9" s="693"/>
      <c r="AC9" s="693"/>
      <c r="AD9" s="693"/>
      <c r="AE9" s="693"/>
      <c r="AF9" s="693"/>
      <c r="AG9" s="693"/>
      <c r="AH9" s="693"/>
    </row>
    <row r="10" spans="1:34">
      <c r="A10" s="692" t="s">
        <v>1190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692"/>
      <c r="X10" s="692"/>
      <c r="Y10" s="692"/>
      <c r="Z10" s="692"/>
      <c r="AA10" s="692"/>
      <c r="AB10" s="692"/>
      <c r="AC10" s="692"/>
      <c r="AD10" s="692"/>
      <c r="AE10" s="692"/>
      <c r="AF10" s="692"/>
      <c r="AG10" s="692"/>
      <c r="AH10" s="692"/>
    </row>
    <row r="13" spans="1:34">
      <c r="A13" s="695" t="s">
        <v>0</v>
      </c>
      <c r="B13" s="695" t="s">
        <v>1</v>
      </c>
      <c r="C13" s="695" t="s">
        <v>2</v>
      </c>
      <c r="D13" s="695" t="s">
        <v>69</v>
      </c>
      <c r="E13" s="695" t="s">
        <v>734</v>
      </c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</row>
    <row r="14" spans="1:34">
      <c r="A14" s="695"/>
      <c r="B14" s="695"/>
      <c r="C14" s="695"/>
      <c r="D14" s="695"/>
      <c r="E14" s="695" t="s">
        <v>11</v>
      </c>
      <c r="F14" s="695"/>
      <c r="G14" s="695"/>
      <c r="H14" s="695"/>
      <c r="I14" s="695"/>
      <c r="J14" s="695" t="s">
        <v>12</v>
      </c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</row>
    <row r="15" spans="1:34">
      <c r="A15" s="695"/>
      <c r="B15" s="695"/>
      <c r="C15" s="695"/>
      <c r="D15" s="695"/>
      <c r="E15" s="695" t="s">
        <v>485</v>
      </c>
      <c r="F15" s="695"/>
      <c r="G15" s="695"/>
      <c r="H15" s="695"/>
      <c r="I15" s="695"/>
      <c r="J15" s="695" t="s">
        <v>485</v>
      </c>
      <c r="K15" s="695"/>
      <c r="L15" s="695"/>
      <c r="M15" s="695"/>
      <c r="N15" s="695"/>
      <c r="O15" s="695" t="s">
        <v>486</v>
      </c>
      <c r="P15" s="695"/>
      <c r="Q15" s="695"/>
      <c r="R15" s="695"/>
      <c r="S15" s="695"/>
      <c r="T15" s="695" t="s">
        <v>487</v>
      </c>
      <c r="U15" s="695"/>
      <c r="V15" s="695"/>
      <c r="W15" s="695"/>
      <c r="X15" s="695"/>
      <c r="Y15" s="690" t="s">
        <v>488</v>
      </c>
      <c r="Z15" s="690"/>
      <c r="AA15" s="690"/>
      <c r="AB15" s="690"/>
      <c r="AC15" s="690"/>
      <c r="AD15" s="695" t="s">
        <v>489</v>
      </c>
      <c r="AE15" s="695"/>
      <c r="AF15" s="695"/>
      <c r="AG15" s="695"/>
      <c r="AH15" s="695"/>
    </row>
    <row r="16" spans="1:34" ht="31.5">
      <c r="A16" s="695"/>
      <c r="B16" s="695"/>
      <c r="C16" s="695"/>
      <c r="D16" s="695"/>
      <c r="E16" s="66" t="s">
        <v>58</v>
      </c>
      <c r="F16" s="66" t="s">
        <v>59</v>
      </c>
      <c r="G16" s="66" t="s">
        <v>60</v>
      </c>
      <c r="H16" s="66" t="s">
        <v>61</v>
      </c>
      <c r="I16" s="66" t="s">
        <v>62</v>
      </c>
      <c r="J16" s="66" t="s">
        <v>58</v>
      </c>
      <c r="K16" s="66" t="s">
        <v>59</v>
      </c>
      <c r="L16" s="66" t="s">
        <v>60</v>
      </c>
      <c r="M16" s="66" t="s">
        <v>61</v>
      </c>
      <c r="N16" s="66" t="s">
        <v>62</v>
      </c>
      <c r="O16" s="66" t="s">
        <v>58</v>
      </c>
      <c r="P16" s="66" t="s">
        <v>59</v>
      </c>
      <c r="Q16" s="66" t="s">
        <v>60</v>
      </c>
      <c r="R16" s="66" t="s">
        <v>61</v>
      </c>
      <c r="S16" s="66" t="s">
        <v>62</v>
      </c>
      <c r="T16" s="66" t="s">
        <v>58</v>
      </c>
      <c r="U16" s="66" t="s">
        <v>59</v>
      </c>
      <c r="V16" s="66" t="s">
        <v>60</v>
      </c>
      <c r="W16" s="66" t="s">
        <v>61</v>
      </c>
      <c r="X16" s="66" t="s">
        <v>62</v>
      </c>
      <c r="Y16" s="66" t="s">
        <v>58</v>
      </c>
      <c r="Z16" s="66" t="s">
        <v>59</v>
      </c>
      <c r="AA16" s="66" t="s">
        <v>60</v>
      </c>
      <c r="AB16" s="66" t="s">
        <v>61</v>
      </c>
      <c r="AC16" s="66" t="s">
        <v>62</v>
      </c>
      <c r="AD16" s="66" t="s">
        <v>58</v>
      </c>
      <c r="AE16" s="66" t="s">
        <v>59</v>
      </c>
      <c r="AF16" s="66" t="s">
        <v>60</v>
      </c>
      <c r="AG16" s="66" t="s">
        <v>61</v>
      </c>
      <c r="AH16" s="66" t="s">
        <v>62</v>
      </c>
    </row>
    <row r="17" spans="1:34">
      <c r="A17" s="66">
        <v>1</v>
      </c>
      <c r="B17" s="66">
        <v>2</v>
      </c>
      <c r="C17" s="66">
        <v>3</v>
      </c>
      <c r="D17" s="66">
        <v>4</v>
      </c>
      <c r="E17" s="66" t="s">
        <v>501</v>
      </c>
      <c r="F17" s="66" t="s">
        <v>502</v>
      </c>
      <c r="G17" s="66" t="s">
        <v>503</v>
      </c>
      <c r="H17" s="66" t="s">
        <v>504</v>
      </c>
      <c r="I17" s="66" t="s">
        <v>505</v>
      </c>
      <c r="J17" s="66" t="s">
        <v>537</v>
      </c>
      <c r="K17" s="66" t="s">
        <v>538</v>
      </c>
      <c r="L17" s="66" t="s">
        <v>539</v>
      </c>
      <c r="M17" s="66" t="s">
        <v>540</v>
      </c>
      <c r="N17" s="66" t="s">
        <v>541</v>
      </c>
      <c r="O17" s="66" t="s">
        <v>574</v>
      </c>
      <c r="P17" s="66" t="s">
        <v>575</v>
      </c>
      <c r="Q17" s="66" t="s">
        <v>576</v>
      </c>
      <c r="R17" s="66" t="s">
        <v>577</v>
      </c>
      <c r="S17" s="66" t="s">
        <v>578</v>
      </c>
      <c r="T17" s="66" t="s">
        <v>579</v>
      </c>
      <c r="U17" s="66" t="s">
        <v>580</v>
      </c>
      <c r="V17" s="66" t="s">
        <v>581</v>
      </c>
      <c r="W17" s="66" t="s">
        <v>582</v>
      </c>
      <c r="X17" s="66" t="s">
        <v>583</v>
      </c>
      <c r="Y17" s="66" t="s">
        <v>584</v>
      </c>
      <c r="Z17" s="66" t="s">
        <v>585</v>
      </c>
      <c r="AA17" s="66" t="s">
        <v>586</v>
      </c>
      <c r="AB17" s="66" t="s">
        <v>587</v>
      </c>
      <c r="AC17" s="66" t="s">
        <v>588</v>
      </c>
      <c r="AD17" s="66" t="s">
        <v>589</v>
      </c>
      <c r="AE17" s="66" t="s">
        <v>590</v>
      </c>
      <c r="AF17" s="66" t="s">
        <v>591</v>
      </c>
      <c r="AG17" s="66" t="s">
        <v>592</v>
      </c>
      <c r="AH17" s="66" t="s">
        <v>593</v>
      </c>
    </row>
    <row r="18" spans="1:34" s="105" customFormat="1" ht="31.5">
      <c r="A18" s="221">
        <v>0</v>
      </c>
      <c r="B18" s="222" t="s">
        <v>21</v>
      </c>
      <c r="C18" s="222" t="s">
        <v>876</v>
      </c>
      <c r="D18" s="163" t="s">
        <v>876</v>
      </c>
      <c r="E18" s="181">
        <v>0.25</v>
      </c>
      <c r="F18" s="181">
        <v>0</v>
      </c>
      <c r="G18" s="181">
        <f>G19+G20+G21+G22+G23+G24</f>
        <v>4.6349999999999998</v>
      </c>
      <c r="H18" s="181">
        <v>0</v>
      </c>
      <c r="I18" s="181">
        <v>0</v>
      </c>
      <c r="J18" s="181">
        <f>O18+T18+Y18+AD18</f>
        <v>0</v>
      </c>
      <c r="K18" s="181">
        <f>P18+U18+Z18+AE18</f>
        <v>0</v>
      </c>
      <c r="L18" s="181">
        <f>Q18+V18+AA18+AF18</f>
        <v>7.5520000000000005</v>
      </c>
      <c r="M18" s="181">
        <f>R18+W18+AB18+AG18</f>
        <v>0</v>
      </c>
      <c r="N18" s="181">
        <f>S18+X18+AC18+AH18</f>
        <v>0</v>
      </c>
      <c r="O18" s="113">
        <f>O19+O20+O21+O22+O23+O24</f>
        <v>0</v>
      </c>
      <c r="P18" s="113">
        <f t="shared" ref="P18:AH18" si="0">P19+P20+P21+P22+P23+P24</f>
        <v>0</v>
      </c>
      <c r="Q18" s="113">
        <f t="shared" si="0"/>
        <v>0.3</v>
      </c>
      <c r="R18" s="113">
        <f t="shared" si="0"/>
        <v>0</v>
      </c>
      <c r="S18" s="113">
        <f t="shared" si="0"/>
        <v>0</v>
      </c>
      <c r="T18" s="113">
        <f t="shared" si="0"/>
        <v>0</v>
      </c>
      <c r="U18" s="113">
        <f t="shared" si="0"/>
        <v>0</v>
      </c>
      <c r="V18" s="113">
        <f t="shared" si="0"/>
        <v>1.28</v>
      </c>
      <c r="W18" s="113">
        <f t="shared" si="0"/>
        <v>0</v>
      </c>
      <c r="X18" s="113">
        <f t="shared" si="0"/>
        <v>0</v>
      </c>
      <c r="Y18" s="113">
        <f t="shared" si="0"/>
        <v>0</v>
      </c>
      <c r="Z18" s="113">
        <f t="shared" si="0"/>
        <v>0</v>
      </c>
      <c r="AA18" s="113">
        <f t="shared" si="0"/>
        <v>0.90500000000000003</v>
      </c>
      <c r="AB18" s="113">
        <f t="shared" si="0"/>
        <v>0</v>
      </c>
      <c r="AC18" s="113">
        <f t="shared" si="0"/>
        <v>0</v>
      </c>
      <c r="AD18" s="113">
        <f t="shared" si="0"/>
        <v>0</v>
      </c>
      <c r="AE18" s="113">
        <f t="shared" si="0"/>
        <v>0</v>
      </c>
      <c r="AF18" s="113">
        <f t="shared" si="0"/>
        <v>5.0670000000000002</v>
      </c>
      <c r="AG18" s="113">
        <f t="shared" si="0"/>
        <v>0</v>
      </c>
      <c r="AH18" s="113">
        <f t="shared" si="0"/>
        <v>0</v>
      </c>
    </row>
    <row r="19" spans="1:34" s="105" customFormat="1" ht="31.5">
      <c r="A19" s="221" t="s">
        <v>877</v>
      </c>
      <c r="B19" s="222" t="s">
        <v>878</v>
      </c>
      <c r="C19" s="222" t="s">
        <v>876</v>
      </c>
      <c r="D19" s="163" t="s">
        <v>876</v>
      </c>
      <c r="E19" s="181">
        <v>0.25</v>
      </c>
      <c r="F19" s="181">
        <v>0</v>
      </c>
      <c r="G19" s="181">
        <f>G25</f>
        <v>1.86</v>
      </c>
      <c r="H19" s="181">
        <v>0</v>
      </c>
      <c r="I19" s="181">
        <v>0</v>
      </c>
      <c r="J19" s="181">
        <f t="shared" ref="J19:J94" si="1">O19+T19+Y19+AD19</f>
        <v>0</v>
      </c>
      <c r="K19" s="181">
        <f t="shared" ref="K19:K94" si="2">P19+U19+Z19+AE19</f>
        <v>0</v>
      </c>
      <c r="L19" s="181">
        <f t="shared" ref="L19:L94" si="3">Q19+V19+AA19+AF19</f>
        <v>4.777000000000001</v>
      </c>
      <c r="M19" s="181">
        <f t="shared" ref="M19:M94" si="4">R19+W19+AB19+AG19</f>
        <v>0</v>
      </c>
      <c r="N19" s="181">
        <f t="shared" ref="N19:N94" si="5">S19+X19+AC19+AH19</f>
        <v>0</v>
      </c>
      <c r="O19" s="113">
        <f>O25+O54+O57+O66</f>
        <v>0</v>
      </c>
      <c r="P19" s="113">
        <f t="shared" ref="P19:AH19" si="6">P25+P54+P57+P66</f>
        <v>0</v>
      </c>
      <c r="Q19" s="113">
        <f t="shared" si="6"/>
        <v>0.3</v>
      </c>
      <c r="R19" s="113">
        <f t="shared" si="6"/>
        <v>0</v>
      </c>
      <c r="S19" s="113">
        <f t="shared" si="6"/>
        <v>0</v>
      </c>
      <c r="T19" s="113">
        <f t="shared" si="6"/>
        <v>0</v>
      </c>
      <c r="U19" s="113">
        <f t="shared" si="6"/>
        <v>0</v>
      </c>
      <c r="V19" s="113">
        <f t="shared" si="6"/>
        <v>1.28</v>
      </c>
      <c r="W19" s="113">
        <f t="shared" si="6"/>
        <v>0</v>
      </c>
      <c r="X19" s="113">
        <f t="shared" si="6"/>
        <v>0</v>
      </c>
      <c r="Y19" s="113">
        <f t="shared" si="6"/>
        <v>0</v>
      </c>
      <c r="Z19" s="113">
        <f t="shared" si="6"/>
        <v>0</v>
      </c>
      <c r="AA19" s="113">
        <f t="shared" si="6"/>
        <v>0.90500000000000003</v>
      </c>
      <c r="AB19" s="113">
        <f t="shared" si="6"/>
        <v>0</v>
      </c>
      <c r="AC19" s="113">
        <f t="shared" si="6"/>
        <v>0</v>
      </c>
      <c r="AD19" s="113">
        <f t="shared" si="6"/>
        <v>0</v>
      </c>
      <c r="AE19" s="113">
        <f t="shared" si="6"/>
        <v>0</v>
      </c>
      <c r="AF19" s="113">
        <f t="shared" si="6"/>
        <v>2.2920000000000003</v>
      </c>
      <c r="AG19" s="113">
        <f t="shared" si="6"/>
        <v>0</v>
      </c>
      <c r="AH19" s="113">
        <f t="shared" si="6"/>
        <v>0</v>
      </c>
    </row>
    <row r="20" spans="1:34" s="105" customFormat="1" ht="47.25">
      <c r="A20" s="221" t="s">
        <v>879</v>
      </c>
      <c r="B20" s="222" t="s">
        <v>880</v>
      </c>
      <c r="C20" s="222" t="s">
        <v>876</v>
      </c>
      <c r="D20" s="163" t="s">
        <v>876</v>
      </c>
      <c r="E20" s="181">
        <v>0</v>
      </c>
      <c r="F20" s="181">
        <v>0</v>
      </c>
      <c r="G20" s="181">
        <f>G75</f>
        <v>2.7749999999999999</v>
      </c>
      <c r="H20" s="181">
        <v>0</v>
      </c>
      <c r="I20" s="181">
        <v>0</v>
      </c>
      <c r="J20" s="181">
        <f t="shared" si="1"/>
        <v>0</v>
      </c>
      <c r="K20" s="181">
        <f t="shared" si="2"/>
        <v>0</v>
      </c>
      <c r="L20" s="181">
        <f t="shared" si="3"/>
        <v>2.7749999999999999</v>
      </c>
      <c r="M20" s="181">
        <f t="shared" si="4"/>
        <v>0</v>
      </c>
      <c r="N20" s="181">
        <f t="shared" si="5"/>
        <v>0</v>
      </c>
      <c r="O20" s="113">
        <f>O69</f>
        <v>0</v>
      </c>
      <c r="P20" s="113">
        <f t="shared" ref="P20:AH20" si="7">P69</f>
        <v>0</v>
      </c>
      <c r="Q20" s="113">
        <f t="shared" si="7"/>
        <v>0</v>
      </c>
      <c r="R20" s="113">
        <f t="shared" si="7"/>
        <v>0</v>
      </c>
      <c r="S20" s="113">
        <f t="shared" si="7"/>
        <v>0</v>
      </c>
      <c r="T20" s="113">
        <f t="shared" si="7"/>
        <v>0</v>
      </c>
      <c r="U20" s="113">
        <f t="shared" si="7"/>
        <v>0</v>
      </c>
      <c r="V20" s="113">
        <f t="shared" si="7"/>
        <v>0</v>
      </c>
      <c r="W20" s="113">
        <f t="shared" si="7"/>
        <v>0</v>
      </c>
      <c r="X20" s="113">
        <f t="shared" si="7"/>
        <v>0</v>
      </c>
      <c r="Y20" s="113">
        <f t="shared" si="7"/>
        <v>0</v>
      </c>
      <c r="Z20" s="113">
        <f t="shared" si="7"/>
        <v>0</v>
      </c>
      <c r="AA20" s="113">
        <f t="shared" si="7"/>
        <v>0</v>
      </c>
      <c r="AB20" s="113">
        <f t="shared" si="7"/>
        <v>0</v>
      </c>
      <c r="AC20" s="113">
        <f t="shared" si="7"/>
        <v>0</v>
      </c>
      <c r="AD20" s="113">
        <f t="shared" si="7"/>
        <v>0</v>
      </c>
      <c r="AE20" s="113">
        <f t="shared" si="7"/>
        <v>0</v>
      </c>
      <c r="AF20" s="113">
        <f t="shared" si="7"/>
        <v>2.7749999999999999</v>
      </c>
      <c r="AG20" s="113">
        <f t="shared" si="7"/>
        <v>0</v>
      </c>
      <c r="AH20" s="113">
        <f t="shared" si="7"/>
        <v>0</v>
      </c>
    </row>
    <row r="21" spans="1:34" s="105" customFormat="1" ht="141.75">
      <c r="A21" s="221" t="s">
        <v>881</v>
      </c>
      <c r="B21" s="222" t="s">
        <v>882</v>
      </c>
      <c r="C21" s="222" t="s">
        <v>876</v>
      </c>
      <c r="D21" s="163" t="s">
        <v>876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f t="shared" si="1"/>
        <v>0</v>
      </c>
      <c r="K21" s="181">
        <f t="shared" si="2"/>
        <v>0</v>
      </c>
      <c r="L21" s="181">
        <f t="shared" si="3"/>
        <v>0</v>
      </c>
      <c r="M21" s="181">
        <f t="shared" si="4"/>
        <v>0</v>
      </c>
      <c r="N21" s="181">
        <f t="shared" si="5"/>
        <v>0</v>
      </c>
      <c r="O21" s="113">
        <f>O95</f>
        <v>0</v>
      </c>
      <c r="P21" s="113">
        <f t="shared" ref="P21:AH21" si="8">P95</f>
        <v>0</v>
      </c>
      <c r="Q21" s="113">
        <f t="shared" si="8"/>
        <v>0</v>
      </c>
      <c r="R21" s="113">
        <f t="shared" si="8"/>
        <v>0</v>
      </c>
      <c r="S21" s="113">
        <f t="shared" si="8"/>
        <v>0</v>
      </c>
      <c r="T21" s="113">
        <f t="shared" si="8"/>
        <v>0</v>
      </c>
      <c r="U21" s="113">
        <f t="shared" si="8"/>
        <v>0</v>
      </c>
      <c r="V21" s="113">
        <f t="shared" si="8"/>
        <v>0</v>
      </c>
      <c r="W21" s="113">
        <f t="shared" si="8"/>
        <v>0</v>
      </c>
      <c r="X21" s="113">
        <f t="shared" si="8"/>
        <v>0</v>
      </c>
      <c r="Y21" s="113">
        <f t="shared" si="8"/>
        <v>0</v>
      </c>
      <c r="Z21" s="113">
        <f t="shared" si="8"/>
        <v>0</v>
      </c>
      <c r="AA21" s="113">
        <f t="shared" si="8"/>
        <v>0</v>
      </c>
      <c r="AB21" s="113">
        <f t="shared" si="8"/>
        <v>0</v>
      </c>
      <c r="AC21" s="113">
        <f t="shared" si="8"/>
        <v>0</v>
      </c>
      <c r="AD21" s="113">
        <f t="shared" si="8"/>
        <v>0</v>
      </c>
      <c r="AE21" s="113">
        <f t="shared" si="8"/>
        <v>0</v>
      </c>
      <c r="AF21" s="113">
        <f t="shared" si="8"/>
        <v>0</v>
      </c>
      <c r="AG21" s="113">
        <f t="shared" si="8"/>
        <v>0</v>
      </c>
      <c r="AH21" s="113">
        <f t="shared" si="8"/>
        <v>0</v>
      </c>
    </row>
    <row r="22" spans="1:34" s="105" customFormat="1" ht="47.25">
      <c r="A22" s="223" t="s">
        <v>883</v>
      </c>
      <c r="B22" s="224" t="s">
        <v>884</v>
      </c>
      <c r="C22" s="222" t="s">
        <v>876</v>
      </c>
      <c r="D22" s="163" t="s">
        <v>876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f t="shared" si="1"/>
        <v>0</v>
      </c>
      <c r="K22" s="181">
        <f t="shared" si="2"/>
        <v>0</v>
      </c>
      <c r="L22" s="181">
        <f t="shared" si="3"/>
        <v>0</v>
      </c>
      <c r="M22" s="181">
        <f t="shared" si="4"/>
        <v>0</v>
      </c>
      <c r="N22" s="181">
        <f t="shared" si="5"/>
        <v>0</v>
      </c>
      <c r="O22" s="113">
        <f>O98</f>
        <v>0</v>
      </c>
      <c r="P22" s="113">
        <f t="shared" ref="P22:AH22" si="9">P98</f>
        <v>0</v>
      </c>
      <c r="Q22" s="113">
        <f t="shared" si="9"/>
        <v>0</v>
      </c>
      <c r="R22" s="113">
        <f t="shared" si="9"/>
        <v>0</v>
      </c>
      <c r="S22" s="113">
        <f t="shared" si="9"/>
        <v>0</v>
      </c>
      <c r="T22" s="113">
        <f t="shared" si="9"/>
        <v>0</v>
      </c>
      <c r="U22" s="113">
        <f t="shared" si="9"/>
        <v>0</v>
      </c>
      <c r="V22" s="113">
        <f t="shared" si="9"/>
        <v>0</v>
      </c>
      <c r="W22" s="113">
        <f t="shared" si="9"/>
        <v>0</v>
      </c>
      <c r="X22" s="113">
        <f t="shared" si="9"/>
        <v>0</v>
      </c>
      <c r="Y22" s="113">
        <f t="shared" si="9"/>
        <v>0</v>
      </c>
      <c r="Z22" s="113">
        <f t="shared" si="9"/>
        <v>0</v>
      </c>
      <c r="AA22" s="113">
        <f t="shared" si="9"/>
        <v>0</v>
      </c>
      <c r="AB22" s="113">
        <f t="shared" si="9"/>
        <v>0</v>
      </c>
      <c r="AC22" s="113">
        <f t="shared" si="9"/>
        <v>0</v>
      </c>
      <c r="AD22" s="113">
        <f t="shared" si="9"/>
        <v>0</v>
      </c>
      <c r="AE22" s="113">
        <f t="shared" si="9"/>
        <v>0</v>
      </c>
      <c r="AF22" s="113">
        <f t="shared" si="9"/>
        <v>0</v>
      </c>
      <c r="AG22" s="113">
        <f t="shared" si="9"/>
        <v>0</v>
      </c>
      <c r="AH22" s="113">
        <f t="shared" si="9"/>
        <v>0</v>
      </c>
    </row>
    <row r="23" spans="1:34" s="105" customFormat="1" ht="47.25">
      <c r="A23" s="223" t="s">
        <v>885</v>
      </c>
      <c r="B23" s="224" t="s">
        <v>886</v>
      </c>
      <c r="C23" s="222" t="s">
        <v>876</v>
      </c>
      <c r="D23" s="163" t="s">
        <v>876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f t="shared" si="1"/>
        <v>0</v>
      </c>
      <c r="K23" s="181">
        <f t="shared" si="2"/>
        <v>0</v>
      </c>
      <c r="L23" s="181">
        <f t="shared" si="3"/>
        <v>0</v>
      </c>
      <c r="M23" s="181">
        <f t="shared" si="4"/>
        <v>0</v>
      </c>
      <c r="N23" s="181">
        <f t="shared" si="5"/>
        <v>0</v>
      </c>
      <c r="O23" s="113">
        <f>O101</f>
        <v>0</v>
      </c>
      <c r="P23" s="113">
        <f t="shared" ref="P23:AH23" si="10">P101</f>
        <v>0</v>
      </c>
      <c r="Q23" s="113">
        <f t="shared" si="10"/>
        <v>0</v>
      </c>
      <c r="R23" s="113">
        <f t="shared" si="10"/>
        <v>0</v>
      </c>
      <c r="S23" s="113">
        <f t="shared" si="10"/>
        <v>0</v>
      </c>
      <c r="T23" s="113">
        <f t="shared" si="10"/>
        <v>0</v>
      </c>
      <c r="U23" s="113">
        <f t="shared" si="10"/>
        <v>0</v>
      </c>
      <c r="V23" s="113">
        <f t="shared" si="10"/>
        <v>0</v>
      </c>
      <c r="W23" s="113">
        <f t="shared" si="10"/>
        <v>0</v>
      </c>
      <c r="X23" s="113">
        <f t="shared" si="10"/>
        <v>0</v>
      </c>
      <c r="Y23" s="113">
        <f t="shared" si="10"/>
        <v>0</v>
      </c>
      <c r="Z23" s="113">
        <f t="shared" si="10"/>
        <v>0</v>
      </c>
      <c r="AA23" s="113">
        <f t="shared" si="10"/>
        <v>0</v>
      </c>
      <c r="AB23" s="113">
        <f t="shared" si="10"/>
        <v>0</v>
      </c>
      <c r="AC23" s="113">
        <f t="shared" si="10"/>
        <v>0</v>
      </c>
      <c r="AD23" s="113">
        <f t="shared" si="10"/>
        <v>0</v>
      </c>
      <c r="AE23" s="113">
        <f t="shared" si="10"/>
        <v>0</v>
      </c>
      <c r="AF23" s="113">
        <f t="shared" si="10"/>
        <v>0</v>
      </c>
      <c r="AG23" s="113">
        <f t="shared" si="10"/>
        <v>0</v>
      </c>
      <c r="AH23" s="113">
        <f t="shared" si="10"/>
        <v>0</v>
      </c>
    </row>
    <row r="24" spans="1:34" s="105" customFormat="1" ht="31.5">
      <c r="A24" s="223" t="s">
        <v>887</v>
      </c>
      <c r="B24" s="224" t="s">
        <v>888</v>
      </c>
      <c r="C24" s="222" t="s">
        <v>876</v>
      </c>
      <c r="D24" s="163" t="s">
        <v>876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f>O24+T24+Y24+AD24</f>
        <v>0</v>
      </c>
      <c r="K24" s="181">
        <f>P24+U24+Z24+AE24</f>
        <v>0</v>
      </c>
      <c r="L24" s="181">
        <f t="shared" si="3"/>
        <v>0</v>
      </c>
      <c r="M24" s="181">
        <f t="shared" si="4"/>
        <v>0</v>
      </c>
      <c r="N24" s="181">
        <f t="shared" si="5"/>
        <v>0</v>
      </c>
      <c r="O24" s="113">
        <f>O102</f>
        <v>0</v>
      </c>
      <c r="P24" s="113">
        <f t="shared" ref="P24:AH24" si="11">P102</f>
        <v>0</v>
      </c>
      <c r="Q24" s="113">
        <f t="shared" si="11"/>
        <v>0</v>
      </c>
      <c r="R24" s="113">
        <f t="shared" si="11"/>
        <v>0</v>
      </c>
      <c r="S24" s="113">
        <f t="shared" si="11"/>
        <v>0</v>
      </c>
      <c r="T24" s="113">
        <f t="shared" si="11"/>
        <v>0</v>
      </c>
      <c r="U24" s="113">
        <f t="shared" si="11"/>
        <v>0</v>
      </c>
      <c r="V24" s="113">
        <f t="shared" si="11"/>
        <v>0</v>
      </c>
      <c r="W24" s="113">
        <f t="shared" si="11"/>
        <v>0</v>
      </c>
      <c r="X24" s="113">
        <f t="shared" si="11"/>
        <v>0</v>
      </c>
      <c r="Y24" s="113">
        <f t="shared" si="11"/>
        <v>0</v>
      </c>
      <c r="Z24" s="113">
        <f t="shared" si="11"/>
        <v>0</v>
      </c>
      <c r="AA24" s="113">
        <f t="shared" si="11"/>
        <v>0</v>
      </c>
      <c r="AB24" s="113">
        <f t="shared" si="11"/>
        <v>0</v>
      </c>
      <c r="AC24" s="113">
        <f t="shared" si="11"/>
        <v>0</v>
      </c>
      <c r="AD24" s="113">
        <f t="shared" si="11"/>
        <v>0</v>
      </c>
      <c r="AE24" s="113">
        <f t="shared" si="11"/>
        <v>0</v>
      </c>
      <c r="AF24" s="113">
        <f t="shared" si="11"/>
        <v>0</v>
      </c>
      <c r="AG24" s="113">
        <f t="shared" si="11"/>
        <v>0</v>
      </c>
      <c r="AH24" s="113">
        <f t="shared" si="11"/>
        <v>0</v>
      </c>
    </row>
    <row r="25" spans="1:34" s="105" customFormat="1" ht="47.25">
      <c r="A25" s="225" t="s">
        <v>743</v>
      </c>
      <c r="B25" s="224" t="s">
        <v>889</v>
      </c>
      <c r="C25" s="211" t="s">
        <v>876</v>
      </c>
      <c r="D25" s="163" t="s">
        <v>876</v>
      </c>
      <c r="E25" s="183">
        <v>0.25</v>
      </c>
      <c r="F25" s="183">
        <v>0</v>
      </c>
      <c r="G25" s="183">
        <f>G26+G28+G29+G30</f>
        <v>1.86</v>
      </c>
      <c r="H25" s="183">
        <v>0</v>
      </c>
      <c r="I25" s="183">
        <v>0</v>
      </c>
      <c r="J25" s="181">
        <f t="shared" si="1"/>
        <v>0</v>
      </c>
      <c r="K25" s="181">
        <f t="shared" si="2"/>
        <v>0</v>
      </c>
      <c r="L25" s="181">
        <f t="shared" si="3"/>
        <v>4.777000000000001</v>
      </c>
      <c r="M25" s="181">
        <f t="shared" si="4"/>
        <v>0</v>
      </c>
      <c r="N25" s="181">
        <f t="shared" si="5"/>
        <v>0</v>
      </c>
      <c r="O25" s="113">
        <f t="shared" ref="O25:AH25" si="12">O26+O46+O53</f>
        <v>0</v>
      </c>
      <c r="P25" s="113">
        <f t="shared" si="12"/>
        <v>0</v>
      </c>
      <c r="Q25" s="113">
        <f t="shared" si="12"/>
        <v>0.3</v>
      </c>
      <c r="R25" s="113">
        <f t="shared" si="12"/>
        <v>0</v>
      </c>
      <c r="S25" s="113">
        <f t="shared" si="12"/>
        <v>0</v>
      </c>
      <c r="T25" s="113">
        <f t="shared" si="12"/>
        <v>0</v>
      </c>
      <c r="U25" s="113">
        <f t="shared" si="12"/>
        <v>0</v>
      </c>
      <c r="V25" s="113">
        <f t="shared" si="12"/>
        <v>1.28</v>
      </c>
      <c r="W25" s="113">
        <f t="shared" si="12"/>
        <v>0</v>
      </c>
      <c r="X25" s="113">
        <f t="shared" si="12"/>
        <v>0</v>
      </c>
      <c r="Y25" s="113">
        <f t="shared" si="12"/>
        <v>0</v>
      </c>
      <c r="Z25" s="113">
        <f t="shared" si="12"/>
        <v>0</v>
      </c>
      <c r="AA25" s="113">
        <f t="shared" si="12"/>
        <v>0.90500000000000003</v>
      </c>
      <c r="AB25" s="113">
        <f t="shared" si="12"/>
        <v>0</v>
      </c>
      <c r="AC25" s="113">
        <f t="shared" si="12"/>
        <v>0</v>
      </c>
      <c r="AD25" s="113">
        <f t="shared" si="12"/>
        <v>0</v>
      </c>
      <c r="AE25" s="113">
        <f t="shared" si="12"/>
        <v>0</v>
      </c>
      <c r="AF25" s="113">
        <f>AF26+AF46+AF53</f>
        <v>2.2920000000000003</v>
      </c>
      <c r="AG25" s="113">
        <f t="shared" si="12"/>
        <v>0</v>
      </c>
      <c r="AH25" s="113">
        <f t="shared" si="12"/>
        <v>0</v>
      </c>
    </row>
    <row r="26" spans="1:34" s="105" customFormat="1" ht="78.75">
      <c r="A26" s="223" t="s">
        <v>387</v>
      </c>
      <c r="B26" s="224" t="s">
        <v>890</v>
      </c>
      <c r="C26" s="211" t="s">
        <v>876</v>
      </c>
      <c r="D26" s="163" t="s">
        <v>876</v>
      </c>
      <c r="E26" s="185">
        <v>0.25</v>
      </c>
      <c r="F26" s="185">
        <v>0</v>
      </c>
      <c r="G26" s="185">
        <v>1.5</v>
      </c>
      <c r="H26" s="185">
        <v>0</v>
      </c>
      <c r="I26" s="185">
        <v>0</v>
      </c>
      <c r="J26" s="181">
        <f t="shared" si="1"/>
        <v>0</v>
      </c>
      <c r="K26" s="181">
        <f t="shared" si="2"/>
        <v>0</v>
      </c>
      <c r="L26" s="181">
        <f t="shared" si="3"/>
        <v>3.1290000000000004</v>
      </c>
      <c r="M26" s="181">
        <f t="shared" si="4"/>
        <v>0</v>
      </c>
      <c r="N26" s="181">
        <f t="shared" si="5"/>
        <v>0</v>
      </c>
      <c r="O26" s="113">
        <f t="shared" ref="O26:AH26" si="13">O27</f>
        <v>0</v>
      </c>
      <c r="P26" s="113">
        <f t="shared" si="13"/>
        <v>0</v>
      </c>
      <c r="Q26" s="113">
        <f t="shared" si="13"/>
        <v>0.3</v>
      </c>
      <c r="R26" s="113">
        <f t="shared" si="13"/>
        <v>0</v>
      </c>
      <c r="S26" s="113">
        <f t="shared" si="13"/>
        <v>0</v>
      </c>
      <c r="T26" s="113">
        <f t="shared" si="13"/>
        <v>0</v>
      </c>
      <c r="U26" s="113">
        <f t="shared" si="13"/>
        <v>0</v>
      </c>
      <c r="V26" s="113">
        <f t="shared" si="13"/>
        <v>1.1950000000000001</v>
      </c>
      <c r="W26" s="113">
        <f t="shared" si="13"/>
        <v>0</v>
      </c>
      <c r="X26" s="113">
        <f t="shared" si="13"/>
        <v>0</v>
      </c>
      <c r="Y26" s="113">
        <f t="shared" si="13"/>
        <v>0</v>
      </c>
      <c r="Z26" s="113">
        <f t="shared" si="13"/>
        <v>0</v>
      </c>
      <c r="AA26" s="113">
        <f t="shared" si="13"/>
        <v>8.4999999999999992E-2</v>
      </c>
      <c r="AB26" s="113">
        <f t="shared" si="13"/>
        <v>0</v>
      </c>
      <c r="AC26" s="113">
        <f t="shared" si="13"/>
        <v>0</v>
      </c>
      <c r="AD26" s="113">
        <f t="shared" si="13"/>
        <v>0</v>
      </c>
      <c r="AE26" s="113">
        <f t="shared" si="13"/>
        <v>0</v>
      </c>
      <c r="AF26" s="113">
        <f t="shared" si="13"/>
        <v>1.5490000000000002</v>
      </c>
      <c r="AG26" s="113">
        <f t="shared" si="13"/>
        <v>0</v>
      </c>
      <c r="AH26" s="113">
        <f t="shared" si="13"/>
        <v>0</v>
      </c>
    </row>
    <row r="27" spans="1:34" s="105" customFormat="1" ht="173.25">
      <c r="A27" s="226" t="s">
        <v>389</v>
      </c>
      <c r="B27" s="227" t="s">
        <v>891</v>
      </c>
      <c r="C27" s="228" t="s">
        <v>892</v>
      </c>
      <c r="D27" s="163" t="s">
        <v>876</v>
      </c>
      <c r="E27" s="185">
        <v>0.25</v>
      </c>
      <c r="F27" s="185">
        <v>0</v>
      </c>
      <c r="G27" s="185">
        <v>1.5</v>
      </c>
      <c r="H27" s="185">
        <v>0</v>
      </c>
      <c r="I27" s="185">
        <v>0</v>
      </c>
      <c r="J27" s="181">
        <f t="shared" si="1"/>
        <v>0</v>
      </c>
      <c r="K27" s="181">
        <f t="shared" si="2"/>
        <v>0</v>
      </c>
      <c r="L27" s="181">
        <f>Q27+V27+AA27+AF27</f>
        <v>3.1290000000000004</v>
      </c>
      <c r="M27" s="181">
        <f t="shared" si="4"/>
        <v>0</v>
      </c>
      <c r="N27" s="181">
        <f>S27+X27+AC27+AH27</f>
        <v>0</v>
      </c>
      <c r="O27" s="113">
        <f t="shared" ref="O27" si="14">SUM(O31:O45)</f>
        <v>0</v>
      </c>
      <c r="P27" s="113">
        <f t="shared" ref="P27" si="15">SUM(P31:P45)</f>
        <v>0</v>
      </c>
      <c r="Q27" s="113">
        <f t="shared" ref="Q27" si="16">SUM(Q31:Q45)</f>
        <v>0.3</v>
      </c>
      <c r="R27" s="113">
        <f t="shared" ref="R27" si="17">SUM(R31:R45)</f>
        <v>0</v>
      </c>
      <c r="S27" s="113">
        <f t="shared" ref="S27" si="18">SUM(S31:S45)</f>
        <v>0</v>
      </c>
      <c r="T27" s="113">
        <f t="shared" ref="T27" si="19">SUM(T31:T45)</f>
        <v>0</v>
      </c>
      <c r="U27" s="113">
        <f t="shared" ref="U27" si="20">SUM(U31:U45)</f>
        <v>0</v>
      </c>
      <c r="V27" s="113">
        <f t="shared" ref="V27" si="21">SUM(V31:V45)</f>
        <v>1.1950000000000001</v>
      </c>
      <c r="W27" s="113">
        <f t="shared" ref="W27" si="22">SUM(W31:W45)</f>
        <v>0</v>
      </c>
      <c r="X27" s="113">
        <f t="shared" ref="X27" si="23">SUM(X31:X45)</f>
        <v>0</v>
      </c>
      <c r="Y27" s="113">
        <f t="shared" ref="Y27" si="24">SUM(Y31:Y45)</f>
        <v>0</v>
      </c>
      <c r="Z27" s="113">
        <f t="shared" ref="Z27" si="25">SUM(Z31:Z45)</f>
        <v>0</v>
      </c>
      <c r="AA27" s="113">
        <f t="shared" ref="AA27" si="26">SUM(AA31:AA45)</f>
        <v>8.4999999999999992E-2</v>
      </c>
      <c r="AB27" s="113">
        <f t="shared" ref="AB27" si="27">SUM(AB31:AB45)</f>
        <v>0</v>
      </c>
      <c r="AC27" s="113">
        <f t="shared" ref="AC27" si="28">SUM(AC31:AC45)</f>
        <v>0</v>
      </c>
      <c r="AD27" s="113">
        <f t="shared" ref="AD27:AE27" si="29">SUM(AD31:AD45)</f>
        <v>0</v>
      </c>
      <c r="AE27" s="113">
        <f t="shared" si="29"/>
        <v>0</v>
      </c>
      <c r="AF27" s="113">
        <f>SUM(AF28:AF45)</f>
        <v>1.5490000000000002</v>
      </c>
      <c r="AG27" s="113">
        <f t="shared" ref="AG27:AH27" si="30">SUM(AG31:AG45)</f>
        <v>0</v>
      </c>
      <c r="AH27" s="113">
        <f t="shared" si="30"/>
        <v>0</v>
      </c>
    </row>
    <row r="28" spans="1:34" s="548" customFormat="1" ht="31.5">
      <c r="A28" s="123" t="s">
        <v>1074</v>
      </c>
      <c r="B28" s="580" t="s">
        <v>1179</v>
      </c>
      <c r="C28" s="597" t="s">
        <v>1182</v>
      </c>
      <c r="D28" s="556" t="s">
        <v>876</v>
      </c>
      <c r="E28" s="185">
        <v>0</v>
      </c>
      <c r="F28" s="185">
        <v>0</v>
      </c>
      <c r="G28" s="185">
        <v>0.06</v>
      </c>
      <c r="H28" s="185">
        <v>0</v>
      </c>
      <c r="I28" s="185">
        <v>0</v>
      </c>
      <c r="J28" s="181">
        <v>0</v>
      </c>
      <c r="K28" s="181">
        <v>0</v>
      </c>
      <c r="L28" s="181">
        <f>Q28+V28+AA28+AF28</f>
        <v>0.06</v>
      </c>
      <c r="M28" s="181">
        <v>0</v>
      </c>
      <c r="N28" s="181">
        <v>0</v>
      </c>
      <c r="O28" s="113">
        <v>0</v>
      </c>
      <c r="P28" s="113">
        <v>0</v>
      </c>
      <c r="Q28" s="113">
        <f>'13'!AY34</f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f>'13'!BF34</f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f>'13'!BM34</f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f>'13'!BT34</f>
        <v>0.06</v>
      </c>
      <c r="AG28" s="113">
        <v>0</v>
      </c>
      <c r="AH28" s="113">
        <v>0</v>
      </c>
    </row>
    <row r="29" spans="1:34" s="548" customFormat="1" ht="31.5">
      <c r="A29" s="123" t="s">
        <v>1074</v>
      </c>
      <c r="B29" s="580" t="s">
        <v>1180</v>
      </c>
      <c r="C29" s="597" t="s">
        <v>1183</v>
      </c>
      <c r="D29" s="556" t="s">
        <v>876</v>
      </c>
      <c r="E29" s="185">
        <v>0</v>
      </c>
      <c r="F29" s="185">
        <v>0</v>
      </c>
      <c r="G29" s="185">
        <v>0.08</v>
      </c>
      <c r="H29" s="185">
        <v>0</v>
      </c>
      <c r="I29" s="185">
        <v>0</v>
      </c>
      <c r="J29" s="181">
        <v>0</v>
      </c>
      <c r="K29" s="181">
        <v>0</v>
      </c>
      <c r="L29" s="181">
        <f t="shared" ref="L29:L45" si="31">Q29+V29+AA29+AF29</f>
        <v>0.08</v>
      </c>
      <c r="M29" s="181">
        <v>0</v>
      </c>
      <c r="N29" s="181">
        <v>0</v>
      </c>
      <c r="O29" s="113">
        <v>0</v>
      </c>
      <c r="P29" s="113">
        <v>0</v>
      </c>
      <c r="Q29" s="113">
        <f>'13'!AY35</f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f>'13'!BF35</f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f>'13'!BM35</f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f>'13'!BT35</f>
        <v>0.08</v>
      </c>
      <c r="AG29" s="113">
        <v>0</v>
      </c>
      <c r="AH29" s="113">
        <v>0</v>
      </c>
    </row>
    <row r="30" spans="1:34" s="548" customFormat="1" ht="31.5">
      <c r="A30" s="123" t="s">
        <v>1074</v>
      </c>
      <c r="B30" s="580" t="s">
        <v>1181</v>
      </c>
      <c r="C30" s="597" t="s">
        <v>1184</v>
      </c>
      <c r="D30" s="556" t="s">
        <v>876</v>
      </c>
      <c r="E30" s="185">
        <v>0</v>
      </c>
      <c r="F30" s="185">
        <v>0</v>
      </c>
      <c r="G30" s="185">
        <v>0.22</v>
      </c>
      <c r="H30" s="185">
        <v>0</v>
      </c>
      <c r="I30" s="185">
        <v>0</v>
      </c>
      <c r="J30" s="181">
        <v>0</v>
      </c>
      <c r="K30" s="181">
        <v>0</v>
      </c>
      <c r="L30" s="181">
        <f t="shared" si="31"/>
        <v>0.22</v>
      </c>
      <c r="M30" s="181">
        <v>0</v>
      </c>
      <c r="N30" s="181">
        <v>0</v>
      </c>
      <c r="O30" s="113">
        <v>0</v>
      </c>
      <c r="P30" s="113">
        <v>0</v>
      </c>
      <c r="Q30" s="113">
        <f>'13'!AY36</f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f>'13'!BF36</f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f>'13'!BM36</f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f>'13'!BT36</f>
        <v>0.22</v>
      </c>
      <c r="AG30" s="113">
        <v>0</v>
      </c>
      <c r="AH30" s="113">
        <v>0</v>
      </c>
    </row>
    <row r="31" spans="1:34" s="152" customFormat="1" ht="63">
      <c r="A31" s="123" t="s">
        <v>1074</v>
      </c>
      <c r="B31" s="508" t="s">
        <v>1080</v>
      </c>
      <c r="C31" s="228" t="s">
        <v>876</v>
      </c>
      <c r="D31" s="163" t="s">
        <v>876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1">
        <v>0</v>
      </c>
      <c r="K31" s="181">
        <v>0</v>
      </c>
      <c r="L31" s="181">
        <f t="shared" si="31"/>
        <v>7.4999999999999997E-2</v>
      </c>
      <c r="M31" s="181">
        <v>0</v>
      </c>
      <c r="N31" s="181">
        <v>0</v>
      </c>
      <c r="O31" s="113">
        <v>0</v>
      </c>
      <c r="P31" s="113">
        <v>0</v>
      </c>
      <c r="Q31" s="113">
        <f>'13'!AY37</f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f>'13'!BF37</f>
        <v>7.4999999999999997E-2</v>
      </c>
      <c r="W31" s="113">
        <v>0</v>
      </c>
      <c r="X31" s="113">
        <v>0</v>
      </c>
      <c r="Y31" s="113">
        <v>0</v>
      </c>
      <c r="Z31" s="113">
        <v>0</v>
      </c>
      <c r="AA31" s="113">
        <f>'13'!BM37</f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f>'13'!BT37</f>
        <v>0</v>
      </c>
      <c r="AG31" s="113">
        <v>0</v>
      </c>
      <c r="AH31" s="113">
        <v>0</v>
      </c>
    </row>
    <row r="32" spans="1:34" s="152" customFormat="1" ht="63">
      <c r="A32" s="123" t="s">
        <v>1075</v>
      </c>
      <c r="B32" s="508" t="s">
        <v>1081</v>
      </c>
      <c r="C32" s="228" t="s">
        <v>876</v>
      </c>
      <c r="D32" s="163" t="s">
        <v>876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1">
        <v>0</v>
      </c>
      <c r="K32" s="181">
        <v>0</v>
      </c>
      <c r="L32" s="181">
        <f t="shared" si="31"/>
        <v>0.3</v>
      </c>
      <c r="M32" s="181">
        <v>0</v>
      </c>
      <c r="N32" s="181">
        <v>0</v>
      </c>
      <c r="O32" s="113">
        <v>0</v>
      </c>
      <c r="P32" s="113">
        <v>0</v>
      </c>
      <c r="Q32" s="113">
        <f>'13'!AY38</f>
        <v>0.3</v>
      </c>
      <c r="R32" s="113">
        <v>0</v>
      </c>
      <c r="S32" s="113">
        <v>0</v>
      </c>
      <c r="T32" s="113">
        <v>0</v>
      </c>
      <c r="U32" s="113">
        <v>0</v>
      </c>
      <c r="V32" s="113">
        <f>'13'!BF38</f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f>'13'!BM38</f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f>'13'!BT38</f>
        <v>0</v>
      </c>
      <c r="AG32" s="113">
        <v>0</v>
      </c>
      <c r="AH32" s="113">
        <v>0</v>
      </c>
    </row>
    <row r="33" spans="1:34" s="152" customFormat="1" ht="63">
      <c r="A33" s="123" t="s">
        <v>1076</v>
      </c>
      <c r="B33" s="508" t="s">
        <v>1082</v>
      </c>
      <c r="C33" s="228" t="s">
        <v>876</v>
      </c>
      <c r="D33" s="163" t="s">
        <v>876</v>
      </c>
      <c r="E33" s="185">
        <v>0</v>
      </c>
      <c r="F33" s="185">
        <v>0</v>
      </c>
      <c r="G33" s="185">
        <v>0</v>
      </c>
      <c r="H33" s="185">
        <v>0</v>
      </c>
      <c r="I33" s="185">
        <v>0</v>
      </c>
      <c r="J33" s="181">
        <v>0</v>
      </c>
      <c r="K33" s="181">
        <v>0</v>
      </c>
      <c r="L33" s="181">
        <f t="shared" si="31"/>
        <v>0.08</v>
      </c>
      <c r="M33" s="181">
        <v>0</v>
      </c>
      <c r="N33" s="181">
        <v>0</v>
      </c>
      <c r="O33" s="113">
        <v>0</v>
      </c>
      <c r="P33" s="113">
        <v>0</v>
      </c>
      <c r="Q33" s="113">
        <f>'13'!AY39</f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f>'13'!BF39</f>
        <v>0.08</v>
      </c>
      <c r="W33" s="113">
        <v>0</v>
      </c>
      <c r="X33" s="113">
        <v>0</v>
      </c>
      <c r="Y33" s="113">
        <v>0</v>
      </c>
      <c r="Z33" s="113">
        <v>0</v>
      </c>
      <c r="AA33" s="113">
        <f>'13'!BM39</f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f>'13'!BT39</f>
        <v>0</v>
      </c>
      <c r="AG33" s="113">
        <v>0</v>
      </c>
      <c r="AH33" s="113">
        <v>0</v>
      </c>
    </row>
    <row r="34" spans="1:34" s="152" customFormat="1" ht="63">
      <c r="A34" s="123" t="s">
        <v>1077</v>
      </c>
      <c r="B34" s="508" t="s">
        <v>1157</v>
      </c>
      <c r="C34" s="228" t="s">
        <v>876</v>
      </c>
      <c r="D34" s="163" t="s">
        <v>876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1">
        <v>0</v>
      </c>
      <c r="K34" s="181">
        <v>0</v>
      </c>
      <c r="L34" s="181">
        <f t="shared" si="31"/>
        <v>2.5000000000000001E-2</v>
      </c>
      <c r="M34" s="181">
        <v>0</v>
      </c>
      <c r="N34" s="181">
        <v>0</v>
      </c>
      <c r="O34" s="113">
        <v>0</v>
      </c>
      <c r="P34" s="113">
        <v>0</v>
      </c>
      <c r="Q34" s="113">
        <f>'13'!AY40</f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f>'13'!BF40</f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f>'13'!BM40</f>
        <v>2.5000000000000001E-2</v>
      </c>
      <c r="AB34" s="113">
        <v>0</v>
      </c>
      <c r="AC34" s="113">
        <v>0</v>
      </c>
      <c r="AD34" s="113">
        <v>0</v>
      </c>
      <c r="AE34" s="113">
        <v>0</v>
      </c>
      <c r="AF34" s="113">
        <f>'13'!BT40</f>
        <v>0</v>
      </c>
      <c r="AG34" s="113">
        <v>0</v>
      </c>
      <c r="AH34" s="113">
        <v>0</v>
      </c>
    </row>
    <row r="35" spans="1:34" s="152" customFormat="1" ht="47.25">
      <c r="A35" s="123" t="s">
        <v>1078</v>
      </c>
      <c r="B35" s="514" t="s">
        <v>1084</v>
      </c>
      <c r="C35" s="228" t="s">
        <v>876</v>
      </c>
      <c r="D35" s="163" t="s">
        <v>876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1">
        <v>0</v>
      </c>
      <c r="K35" s="181">
        <v>0</v>
      </c>
      <c r="L35" s="181">
        <f t="shared" si="31"/>
        <v>1.04</v>
      </c>
      <c r="M35" s="181">
        <v>0</v>
      </c>
      <c r="N35" s="181">
        <v>0</v>
      </c>
      <c r="O35" s="113">
        <v>0</v>
      </c>
      <c r="P35" s="113">
        <v>0</v>
      </c>
      <c r="Q35" s="113">
        <f>'13'!AY41</f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f>'13'!BF41</f>
        <v>1.04</v>
      </c>
      <c r="W35" s="113">
        <v>0</v>
      </c>
      <c r="X35" s="113">
        <v>0</v>
      </c>
      <c r="Y35" s="113">
        <v>0</v>
      </c>
      <c r="Z35" s="113">
        <v>0</v>
      </c>
      <c r="AA35" s="113">
        <f>'13'!BM41</f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f>'13'!BT41</f>
        <v>0</v>
      </c>
      <c r="AG35" s="113">
        <v>0</v>
      </c>
      <c r="AH35" s="113">
        <v>0</v>
      </c>
    </row>
    <row r="36" spans="1:34" s="152" customFormat="1" ht="63">
      <c r="A36" s="123" t="s">
        <v>1079</v>
      </c>
      <c r="B36" s="508" t="s">
        <v>1085</v>
      </c>
      <c r="C36" s="228" t="s">
        <v>876</v>
      </c>
      <c r="D36" s="163" t="s">
        <v>876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1">
        <v>0</v>
      </c>
      <c r="K36" s="181">
        <v>0</v>
      </c>
      <c r="L36" s="181">
        <f t="shared" si="31"/>
        <v>0</v>
      </c>
      <c r="M36" s="181">
        <v>0</v>
      </c>
      <c r="N36" s="181">
        <v>0</v>
      </c>
      <c r="O36" s="113">
        <v>0</v>
      </c>
      <c r="P36" s="113">
        <v>0</v>
      </c>
      <c r="Q36" s="113">
        <f>'13'!AY42</f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f>'13'!BF42</f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f>'13'!BM42</f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f>'13'!BT42</f>
        <v>0</v>
      </c>
      <c r="AG36" s="113">
        <v>0</v>
      </c>
      <c r="AH36" s="113">
        <v>0</v>
      </c>
    </row>
    <row r="37" spans="1:34" s="152" customFormat="1" ht="63">
      <c r="A37" s="123" t="s">
        <v>1145</v>
      </c>
      <c r="B37" s="508" t="s">
        <v>1156</v>
      </c>
      <c r="C37" s="228" t="s">
        <v>876</v>
      </c>
      <c r="D37" s="512" t="s">
        <v>876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1">
        <v>0</v>
      </c>
      <c r="K37" s="181">
        <v>0</v>
      </c>
      <c r="L37" s="181">
        <f t="shared" si="31"/>
        <v>0.06</v>
      </c>
      <c r="M37" s="181">
        <v>0</v>
      </c>
      <c r="N37" s="181">
        <v>0</v>
      </c>
      <c r="O37" s="113">
        <v>0</v>
      </c>
      <c r="P37" s="113">
        <v>0</v>
      </c>
      <c r="Q37" s="113">
        <f>'13'!AY43</f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f>'13'!BF43</f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f>'13'!BM43</f>
        <v>0.06</v>
      </c>
      <c r="AB37" s="113">
        <v>0</v>
      </c>
      <c r="AC37" s="113">
        <v>0</v>
      </c>
      <c r="AD37" s="113">
        <v>0</v>
      </c>
      <c r="AE37" s="113">
        <v>0</v>
      </c>
      <c r="AF37" s="113">
        <f>'13'!BT43</f>
        <v>0</v>
      </c>
      <c r="AG37" s="113">
        <v>0</v>
      </c>
      <c r="AH37" s="113">
        <v>0</v>
      </c>
    </row>
    <row r="38" spans="1:34" s="152" customFormat="1" ht="63">
      <c r="A38" s="123" t="s">
        <v>1146</v>
      </c>
      <c r="B38" s="508" t="s">
        <v>1155</v>
      </c>
      <c r="C38" s="228" t="s">
        <v>876</v>
      </c>
      <c r="D38" s="512" t="s">
        <v>876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1">
        <v>0</v>
      </c>
      <c r="K38" s="181">
        <v>0</v>
      </c>
      <c r="L38" s="181">
        <f t="shared" si="31"/>
        <v>0.25</v>
      </c>
      <c r="M38" s="181">
        <v>0</v>
      </c>
      <c r="N38" s="181">
        <v>0</v>
      </c>
      <c r="O38" s="113">
        <v>0</v>
      </c>
      <c r="P38" s="113">
        <v>0</v>
      </c>
      <c r="Q38" s="113">
        <f>'13'!AY44</f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f>'13'!BF44</f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f>'13'!BM44</f>
        <v>0</v>
      </c>
      <c r="AB38" s="113">
        <v>0</v>
      </c>
      <c r="AC38" s="113">
        <v>0</v>
      </c>
      <c r="AD38" s="113">
        <v>0</v>
      </c>
      <c r="AE38" s="113">
        <v>0</v>
      </c>
      <c r="AF38" s="113">
        <f>'13'!BT44</f>
        <v>0.25</v>
      </c>
      <c r="AG38" s="113">
        <v>0</v>
      </c>
      <c r="AH38" s="113">
        <v>0</v>
      </c>
    </row>
    <row r="39" spans="1:34" s="152" customFormat="1" ht="63">
      <c r="A39" s="123" t="s">
        <v>1147</v>
      </c>
      <c r="B39" s="508" t="s">
        <v>1154</v>
      </c>
      <c r="C39" s="228" t="s">
        <v>876</v>
      </c>
      <c r="D39" s="512" t="s">
        <v>876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1">
        <v>0</v>
      </c>
      <c r="K39" s="181">
        <v>0</v>
      </c>
      <c r="L39" s="181">
        <f t="shared" si="31"/>
        <v>0.2</v>
      </c>
      <c r="M39" s="181">
        <v>0</v>
      </c>
      <c r="N39" s="181">
        <v>0</v>
      </c>
      <c r="O39" s="113">
        <v>0</v>
      </c>
      <c r="P39" s="113">
        <v>0</v>
      </c>
      <c r="Q39" s="113">
        <f>'13'!AY45</f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f>'13'!BF45</f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f>'13'!BM45</f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f>'13'!BT45</f>
        <v>0.2</v>
      </c>
      <c r="AG39" s="113">
        <v>0</v>
      </c>
      <c r="AH39" s="113">
        <v>0</v>
      </c>
    </row>
    <row r="40" spans="1:34" s="548" customFormat="1" ht="63">
      <c r="A40" s="123" t="s">
        <v>1158</v>
      </c>
      <c r="B40" s="508" t="s">
        <v>1159</v>
      </c>
      <c r="C40" s="228" t="s">
        <v>876</v>
      </c>
      <c r="D40" s="547" t="s">
        <v>876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1">
        <v>0</v>
      </c>
      <c r="K40" s="181">
        <v>0</v>
      </c>
      <c r="L40" s="181">
        <f t="shared" si="31"/>
        <v>0.04</v>
      </c>
      <c r="M40" s="181">
        <v>0</v>
      </c>
      <c r="N40" s="181">
        <v>0</v>
      </c>
      <c r="O40" s="113">
        <v>0</v>
      </c>
      <c r="P40" s="113">
        <v>0</v>
      </c>
      <c r="Q40" s="113">
        <f>'13'!AY46</f>
        <v>0</v>
      </c>
      <c r="R40" s="113">
        <v>0</v>
      </c>
      <c r="S40" s="113">
        <v>0</v>
      </c>
      <c r="T40" s="113">
        <v>0</v>
      </c>
      <c r="U40" s="113">
        <v>0</v>
      </c>
      <c r="V40" s="113">
        <f>'13'!BF46</f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f>'13'!BM46</f>
        <v>0</v>
      </c>
      <c r="AB40" s="113">
        <v>0</v>
      </c>
      <c r="AC40" s="113">
        <v>0</v>
      </c>
      <c r="AD40" s="113">
        <v>0</v>
      </c>
      <c r="AE40" s="113">
        <v>0</v>
      </c>
      <c r="AF40" s="113">
        <f>'13'!BT46</f>
        <v>0.04</v>
      </c>
      <c r="AG40" s="113">
        <v>0</v>
      </c>
      <c r="AH40" s="113">
        <v>0</v>
      </c>
    </row>
    <row r="41" spans="1:34" s="548" customFormat="1" ht="78.75">
      <c r="A41" s="123" t="s">
        <v>1158</v>
      </c>
      <c r="B41" s="508" t="s">
        <v>1160</v>
      </c>
      <c r="C41" s="228" t="s">
        <v>876</v>
      </c>
      <c r="D41" s="547" t="s">
        <v>876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1">
        <v>0</v>
      </c>
      <c r="K41" s="181">
        <v>0</v>
      </c>
      <c r="L41" s="181">
        <f t="shared" si="31"/>
        <v>0.15</v>
      </c>
      <c r="M41" s="181">
        <v>0</v>
      </c>
      <c r="N41" s="181">
        <v>0</v>
      </c>
      <c r="O41" s="113">
        <v>0</v>
      </c>
      <c r="P41" s="113">
        <v>0</v>
      </c>
      <c r="Q41" s="113">
        <f>'13'!AY47</f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f>'13'!BF47</f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f>'13'!BM47</f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f>'13'!BT47</f>
        <v>0.15</v>
      </c>
      <c r="AG41" s="113">
        <v>0</v>
      </c>
      <c r="AH41" s="113">
        <v>0</v>
      </c>
    </row>
    <row r="42" spans="1:34" s="548" customFormat="1" ht="63">
      <c r="A42" s="123" t="s">
        <v>1158</v>
      </c>
      <c r="B42" s="508" t="s">
        <v>1161</v>
      </c>
      <c r="C42" s="228" t="s">
        <v>876</v>
      </c>
      <c r="D42" s="547" t="s">
        <v>876</v>
      </c>
      <c r="E42" s="185">
        <v>0</v>
      </c>
      <c r="F42" s="185">
        <v>0</v>
      </c>
      <c r="G42" s="185">
        <v>0</v>
      </c>
      <c r="H42" s="185">
        <v>0</v>
      </c>
      <c r="I42" s="185">
        <v>0</v>
      </c>
      <c r="J42" s="181">
        <v>0</v>
      </c>
      <c r="K42" s="181">
        <v>0</v>
      </c>
      <c r="L42" s="181">
        <f t="shared" si="31"/>
        <v>0.06</v>
      </c>
      <c r="M42" s="181">
        <v>0</v>
      </c>
      <c r="N42" s="181">
        <v>0</v>
      </c>
      <c r="O42" s="113">
        <v>0</v>
      </c>
      <c r="P42" s="113">
        <v>0</v>
      </c>
      <c r="Q42" s="113">
        <f>'13'!AY48</f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f>'13'!BF48</f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f>'13'!BM48</f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f>'13'!BT48</f>
        <v>0.06</v>
      </c>
      <c r="AG42" s="113">
        <v>0</v>
      </c>
      <c r="AH42" s="113">
        <v>0</v>
      </c>
    </row>
    <row r="43" spans="1:34" s="548" customFormat="1" ht="63">
      <c r="A43" s="123" t="s">
        <v>1158</v>
      </c>
      <c r="B43" s="508" t="s">
        <v>1162</v>
      </c>
      <c r="C43" s="228" t="s">
        <v>876</v>
      </c>
      <c r="D43" s="547" t="s">
        <v>876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1">
        <v>0</v>
      </c>
      <c r="K43" s="181">
        <v>0</v>
      </c>
      <c r="L43" s="181">
        <f t="shared" si="31"/>
        <v>0.44900000000000001</v>
      </c>
      <c r="M43" s="181">
        <v>0</v>
      </c>
      <c r="N43" s="181">
        <v>0</v>
      </c>
      <c r="O43" s="113">
        <v>0</v>
      </c>
      <c r="P43" s="113">
        <v>0</v>
      </c>
      <c r="Q43" s="113">
        <f>'13'!AY49</f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f>'13'!BF49</f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f>'13'!BM49</f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f>'13'!BT49</f>
        <v>0.44900000000000001</v>
      </c>
      <c r="AG43" s="113">
        <v>0</v>
      </c>
      <c r="AH43" s="113">
        <v>0</v>
      </c>
    </row>
    <row r="44" spans="1:34" s="548" customFormat="1" ht="63">
      <c r="A44" s="123" t="s">
        <v>1158</v>
      </c>
      <c r="B44" s="508" t="s">
        <v>1163</v>
      </c>
      <c r="C44" s="228" t="s">
        <v>876</v>
      </c>
      <c r="D44" s="547" t="s">
        <v>876</v>
      </c>
      <c r="E44" s="185">
        <v>0</v>
      </c>
      <c r="F44" s="185">
        <v>0</v>
      </c>
      <c r="G44" s="185">
        <v>0</v>
      </c>
      <c r="H44" s="185">
        <v>0</v>
      </c>
      <c r="I44" s="185">
        <v>0</v>
      </c>
      <c r="J44" s="181">
        <v>0</v>
      </c>
      <c r="K44" s="181">
        <v>0</v>
      </c>
      <c r="L44" s="181">
        <f t="shared" si="31"/>
        <v>0.04</v>
      </c>
      <c r="M44" s="181">
        <v>0</v>
      </c>
      <c r="N44" s="181">
        <v>0</v>
      </c>
      <c r="O44" s="113">
        <v>0</v>
      </c>
      <c r="P44" s="113">
        <v>0</v>
      </c>
      <c r="Q44" s="113">
        <f>'13'!AY50</f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f>'13'!BF50</f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f>'13'!BM50</f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f>'13'!BT50</f>
        <v>0.04</v>
      </c>
      <c r="AG44" s="113">
        <v>0</v>
      </c>
      <c r="AH44" s="113">
        <v>0</v>
      </c>
    </row>
    <row r="45" spans="1:34" s="152" customFormat="1" ht="47.25">
      <c r="A45" s="123" t="s">
        <v>1158</v>
      </c>
      <c r="B45" s="508" t="s">
        <v>1164</v>
      </c>
      <c r="C45" s="228" t="s">
        <v>876</v>
      </c>
      <c r="D45" s="512" t="s">
        <v>876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1">
        <v>0</v>
      </c>
      <c r="K45" s="181">
        <v>0</v>
      </c>
      <c r="L45" s="181">
        <f t="shared" si="31"/>
        <v>0</v>
      </c>
      <c r="M45" s="181">
        <v>0</v>
      </c>
      <c r="N45" s="181">
        <v>0</v>
      </c>
      <c r="O45" s="113">
        <v>0</v>
      </c>
      <c r="P45" s="113">
        <v>0</v>
      </c>
      <c r="Q45" s="113">
        <f>'13'!AY51</f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f>'13'!BF51</f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f>'13'!BM51</f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f>'13'!BT51</f>
        <v>0</v>
      </c>
      <c r="AG45" s="113">
        <v>0</v>
      </c>
      <c r="AH45" s="113">
        <v>0</v>
      </c>
    </row>
    <row r="46" spans="1:34" s="105" customFormat="1" ht="78.75">
      <c r="A46" s="223" t="s">
        <v>392</v>
      </c>
      <c r="B46" s="224" t="s">
        <v>893</v>
      </c>
      <c r="C46" s="211" t="s">
        <v>876</v>
      </c>
      <c r="D46" s="163" t="s">
        <v>876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1">
        <f t="shared" si="1"/>
        <v>0</v>
      </c>
      <c r="K46" s="181">
        <f t="shared" si="2"/>
        <v>0</v>
      </c>
      <c r="L46" s="181">
        <f>Q46+V46+AA46+AF46</f>
        <v>1.6480000000000001</v>
      </c>
      <c r="M46" s="181">
        <f t="shared" si="4"/>
        <v>0</v>
      </c>
      <c r="N46" s="181">
        <f t="shared" si="5"/>
        <v>0</v>
      </c>
      <c r="O46" s="113">
        <f t="shared" ref="O46:AE46" si="32">SUM(O47:O52)</f>
        <v>0</v>
      </c>
      <c r="P46" s="113">
        <f t="shared" si="32"/>
        <v>0</v>
      </c>
      <c r="Q46" s="113">
        <f t="shared" si="32"/>
        <v>0</v>
      </c>
      <c r="R46" s="113">
        <f t="shared" si="32"/>
        <v>0</v>
      </c>
      <c r="S46" s="113">
        <f t="shared" si="32"/>
        <v>0</v>
      </c>
      <c r="T46" s="113">
        <f t="shared" si="32"/>
        <v>0</v>
      </c>
      <c r="U46" s="113">
        <f t="shared" si="32"/>
        <v>0</v>
      </c>
      <c r="V46" s="113">
        <f>SUM(V47:V52)</f>
        <v>8.5000000000000006E-2</v>
      </c>
      <c r="W46" s="113">
        <f t="shared" si="32"/>
        <v>0</v>
      </c>
      <c r="X46" s="113">
        <f t="shared" si="32"/>
        <v>0</v>
      </c>
      <c r="Y46" s="113">
        <f t="shared" si="32"/>
        <v>0</v>
      </c>
      <c r="Z46" s="113">
        <f t="shared" si="32"/>
        <v>0</v>
      </c>
      <c r="AA46" s="113">
        <f t="shared" si="32"/>
        <v>0.82000000000000006</v>
      </c>
      <c r="AB46" s="113">
        <f t="shared" si="32"/>
        <v>0</v>
      </c>
      <c r="AC46" s="113">
        <f t="shared" si="32"/>
        <v>0</v>
      </c>
      <c r="AD46" s="113">
        <f t="shared" si="32"/>
        <v>0</v>
      </c>
      <c r="AE46" s="113">
        <f t="shared" si="32"/>
        <v>0</v>
      </c>
      <c r="AF46" s="113">
        <f>SUM(AF47:AF52)</f>
        <v>0.74299999999999999</v>
      </c>
      <c r="AG46" s="113">
        <f t="shared" ref="AG46:AH46" si="33">SUM(AG47:AG52)</f>
        <v>0</v>
      </c>
      <c r="AH46" s="113">
        <f t="shared" si="33"/>
        <v>0</v>
      </c>
    </row>
    <row r="47" spans="1:34" s="152" customFormat="1" ht="63">
      <c r="A47" s="226" t="s">
        <v>1094</v>
      </c>
      <c r="B47" s="129" t="s">
        <v>1095</v>
      </c>
      <c r="C47" s="211" t="s">
        <v>876</v>
      </c>
      <c r="D47" s="163" t="s">
        <v>876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1">
        <f t="shared" ref="J47:J52" si="34">O47+T47+Y47+AD47</f>
        <v>0</v>
      </c>
      <c r="K47" s="181">
        <f t="shared" ref="K47:K52" si="35">P47+U47+Z47+AE47</f>
        <v>0</v>
      </c>
      <c r="L47" s="181">
        <f>Q47+V47+AA47+AF47</f>
        <v>8.5000000000000006E-2</v>
      </c>
      <c r="M47" s="181">
        <f t="shared" ref="M47:M52" si="36">R47+W47+AB47+AG47</f>
        <v>0</v>
      </c>
      <c r="N47" s="181">
        <f t="shared" ref="N47:N52" si="37">S47+X47+AC47+AH47</f>
        <v>0</v>
      </c>
      <c r="O47" s="113">
        <v>0</v>
      </c>
      <c r="P47" s="113">
        <v>0</v>
      </c>
      <c r="Q47" s="113">
        <f>'13'!AY53</f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f>'13'!BF53</f>
        <v>8.5000000000000006E-2</v>
      </c>
      <c r="W47" s="113">
        <v>0</v>
      </c>
      <c r="X47" s="113">
        <v>0</v>
      </c>
      <c r="Y47" s="113">
        <v>0</v>
      </c>
      <c r="Z47" s="113">
        <v>0</v>
      </c>
      <c r="AA47" s="113">
        <f>'13'!BM53</f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f>'13'!BT53</f>
        <v>0</v>
      </c>
      <c r="AG47" s="113">
        <v>0</v>
      </c>
      <c r="AH47" s="113">
        <v>0</v>
      </c>
    </row>
    <row r="48" spans="1:34" s="152" customFormat="1" ht="63">
      <c r="A48" s="226" t="s">
        <v>1096</v>
      </c>
      <c r="B48" s="129" t="s">
        <v>1149</v>
      </c>
      <c r="C48" s="211" t="s">
        <v>876</v>
      </c>
      <c r="D48" s="163" t="s">
        <v>876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1">
        <f t="shared" si="34"/>
        <v>0</v>
      </c>
      <c r="K48" s="181">
        <f t="shared" si="35"/>
        <v>0</v>
      </c>
      <c r="L48" s="181">
        <f t="shared" ref="L48:L52" si="38">Q48+V48+AA48+AF48</f>
        <v>0.1</v>
      </c>
      <c r="M48" s="181">
        <f t="shared" si="36"/>
        <v>0</v>
      </c>
      <c r="N48" s="181">
        <f t="shared" si="37"/>
        <v>0</v>
      </c>
      <c r="O48" s="113">
        <v>0</v>
      </c>
      <c r="P48" s="113">
        <v>0</v>
      </c>
      <c r="Q48" s="113">
        <f>'13'!AY54</f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f>'13'!BF54</f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f>'13'!BM54</f>
        <v>0.1</v>
      </c>
      <c r="AB48" s="113">
        <v>0</v>
      </c>
      <c r="AC48" s="113">
        <v>0</v>
      </c>
      <c r="AD48" s="113">
        <v>0</v>
      </c>
      <c r="AE48" s="113">
        <v>0</v>
      </c>
      <c r="AF48" s="113">
        <f>'13'!BT54</f>
        <v>0</v>
      </c>
      <c r="AG48" s="113">
        <v>0</v>
      </c>
      <c r="AH48" s="113">
        <v>0</v>
      </c>
    </row>
    <row r="49" spans="1:34" s="152" customFormat="1" ht="63">
      <c r="A49" s="226" t="s">
        <v>1097</v>
      </c>
      <c r="B49" s="129" t="s">
        <v>1165</v>
      </c>
      <c r="C49" s="211" t="s">
        <v>876</v>
      </c>
      <c r="D49" s="163" t="s">
        <v>876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1">
        <f t="shared" si="34"/>
        <v>0</v>
      </c>
      <c r="K49" s="181">
        <f t="shared" si="35"/>
        <v>0</v>
      </c>
      <c r="L49" s="181">
        <f t="shared" si="38"/>
        <v>0.14000000000000001</v>
      </c>
      <c r="M49" s="181">
        <f t="shared" si="36"/>
        <v>0</v>
      </c>
      <c r="N49" s="181">
        <f t="shared" si="37"/>
        <v>0</v>
      </c>
      <c r="O49" s="113">
        <v>0</v>
      </c>
      <c r="P49" s="113">
        <v>0</v>
      </c>
      <c r="Q49" s="113">
        <f>'13'!AY55</f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f>'13'!BF55</f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f>'13'!BM55</f>
        <v>0.14000000000000001</v>
      </c>
      <c r="AB49" s="113">
        <v>0</v>
      </c>
      <c r="AC49" s="113">
        <v>0</v>
      </c>
      <c r="AD49" s="113">
        <v>0</v>
      </c>
      <c r="AE49" s="113">
        <v>0</v>
      </c>
      <c r="AF49" s="113">
        <f>'13'!BT55</f>
        <v>0</v>
      </c>
      <c r="AG49" s="113">
        <v>0</v>
      </c>
      <c r="AH49" s="113">
        <v>0</v>
      </c>
    </row>
    <row r="50" spans="1:34" s="152" customFormat="1" ht="78.75">
      <c r="A50" s="226" t="s">
        <v>1098</v>
      </c>
      <c r="B50" s="129" t="s">
        <v>1151</v>
      </c>
      <c r="C50" s="211" t="s">
        <v>876</v>
      </c>
      <c r="D50" s="163" t="s">
        <v>876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1">
        <f t="shared" si="34"/>
        <v>0</v>
      </c>
      <c r="K50" s="181">
        <f t="shared" si="35"/>
        <v>0</v>
      </c>
      <c r="L50" s="181">
        <f t="shared" si="38"/>
        <v>0.28999999999999998</v>
      </c>
      <c r="M50" s="181">
        <f t="shared" si="36"/>
        <v>0</v>
      </c>
      <c r="N50" s="181">
        <f t="shared" si="37"/>
        <v>0</v>
      </c>
      <c r="O50" s="113">
        <v>0</v>
      </c>
      <c r="P50" s="113">
        <v>0</v>
      </c>
      <c r="Q50" s="113">
        <f>'13'!AY56</f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f>'13'!BF56</f>
        <v>0</v>
      </c>
      <c r="W50" s="113">
        <v>0</v>
      </c>
      <c r="X50" s="113">
        <v>0</v>
      </c>
      <c r="Y50" s="113">
        <v>0</v>
      </c>
      <c r="Z50" s="113">
        <v>0</v>
      </c>
      <c r="AA50" s="113">
        <f>'13'!BM56</f>
        <v>0.28999999999999998</v>
      </c>
      <c r="AB50" s="113">
        <v>0</v>
      </c>
      <c r="AC50" s="113">
        <v>0</v>
      </c>
      <c r="AD50" s="113">
        <v>0</v>
      </c>
      <c r="AE50" s="113">
        <v>0</v>
      </c>
      <c r="AF50" s="113">
        <f>'13'!BT56</f>
        <v>0</v>
      </c>
      <c r="AG50" s="113">
        <v>0</v>
      </c>
      <c r="AH50" s="113">
        <v>0</v>
      </c>
    </row>
    <row r="51" spans="1:34" s="152" customFormat="1" ht="63">
      <c r="A51" s="226" t="s">
        <v>1099</v>
      </c>
      <c r="B51" s="129" t="s">
        <v>1150</v>
      </c>
      <c r="C51" s="211" t="s">
        <v>876</v>
      </c>
      <c r="D51" s="512" t="s">
        <v>876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1">
        <f t="shared" ref="J51" si="39">O51+T51+Y51+AD51</f>
        <v>0</v>
      </c>
      <c r="K51" s="181">
        <f t="shared" ref="K51" si="40">P51+U51+Z51+AE51</f>
        <v>0</v>
      </c>
      <c r="L51" s="181">
        <f t="shared" ref="L51" si="41">Q51+V51+AA51+AF51</f>
        <v>0.28999999999999998</v>
      </c>
      <c r="M51" s="181">
        <f t="shared" ref="M51" si="42">R51+W51+AB51+AG51</f>
        <v>0</v>
      </c>
      <c r="N51" s="181">
        <f t="shared" ref="N51" si="43">S51+X51+AC51+AH51</f>
        <v>0</v>
      </c>
      <c r="O51" s="113">
        <v>0</v>
      </c>
      <c r="P51" s="113">
        <v>0</v>
      </c>
      <c r="Q51" s="113">
        <f>'13'!AY57</f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f>'13'!BF57</f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f>'13'!BM57</f>
        <v>0.28999999999999998</v>
      </c>
      <c r="AB51" s="113">
        <v>0</v>
      </c>
      <c r="AC51" s="113">
        <v>0</v>
      </c>
      <c r="AD51" s="113">
        <v>0</v>
      </c>
      <c r="AE51" s="113">
        <v>0</v>
      </c>
      <c r="AF51" s="113">
        <f>'13'!BT57</f>
        <v>0</v>
      </c>
      <c r="AG51" s="113">
        <v>0</v>
      </c>
      <c r="AH51" s="113">
        <v>0</v>
      </c>
    </row>
    <row r="52" spans="1:34" s="152" customFormat="1" ht="63">
      <c r="A52" s="123" t="s">
        <v>1152</v>
      </c>
      <c r="B52" s="129" t="s">
        <v>1153</v>
      </c>
      <c r="C52" s="211" t="s">
        <v>876</v>
      </c>
      <c r="D52" s="163" t="s">
        <v>876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1">
        <f t="shared" si="34"/>
        <v>0</v>
      </c>
      <c r="K52" s="181">
        <f t="shared" si="35"/>
        <v>0</v>
      </c>
      <c r="L52" s="181">
        <f t="shared" si="38"/>
        <v>0.74299999999999999</v>
      </c>
      <c r="M52" s="181">
        <f t="shared" si="36"/>
        <v>0</v>
      </c>
      <c r="N52" s="181">
        <f t="shared" si="37"/>
        <v>0</v>
      </c>
      <c r="O52" s="113">
        <v>0</v>
      </c>
      <c r="P52" s="113">
        <v>0</v>
      </c>
      <c r="Q52" s="113">
        <f>'13'!AY58</f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f>'13'!BF58</f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f>'13'!BM58</f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f>'13'!BT58</f>
        <v>0.74299999999999999</v>
      </c>
      <c r="AG52" s="113">
        <v>0</v>
      </c>
      <c r="AH52" s="113">
        <v>0</v>
      </c>
    </row>
    <row r="53" spans="1:34" s="105" customFormat="1" ht="63">
      <c r="A53" s="223" t="s">
        <v>394</v>
      </c>
      <c r="B53" s="224" t="s">
        <v>894</v>
      </c>
      <c r="C53" s="211" t="s">
        <v>876</v>
      </c>
      <c r="D53" s="163" t="s">
        <v>876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1">
        <f t="shared" si="1"/>
        <v>0</v>
      </c>
      <c r="K53" s="181">
        <f t="shared" si="2"/>
        <v>0</v>
      </c>
      <c r="L53" s="181">
        <f t="shared" si="3"/>
        <v>0</v>
      </c>
      <c r="M53" s="181">
        <f t="shared" si="4"/>
        <v>0</v>
      </c>
      <c r="N53" s="181">
        <f t="shared" si="5"/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f>'13'!BM58</f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</row>
    <row r="54" spans="1:34" s="105" customFormat="1" ht="47.25">
      <c r="A54" s="225" t="s">
        <v>744</v>
      </c>
      <c r="B54" s="224" t="s">
        <v>895</v>
      </c>
      <c r="C54" s="211" t="s">
        <v>876</v>
      </c>
      <c r="D54" s="163" t="s">
        <v>876</v>
      </c>
      <c r="E54" s="185">
        <v>0</v>
      </c>
      <c r="F54" s="185">
        <v>0</v>
      </c>
      <c r="G54" s="185">
        <v>0</v>
      </c>
      <c r="H54" s="185">
        <v>0</v>
      </c>
      <c r="I54" s="185">
        <v>0</v>
      </c>
      <c r="J54" s="181">
        <f t="shared" si="1"/>
        <v>0</v>
      </c>
      <c r="K54" s="181">
        <f t="shared" si="2"/>
        <v>0</v>
      </c>
      <c r="L54" s="181">
        <f t="shared" si="3"/>
        <v>0</v>
      </c>
      <c r="M54" s="181">
        <f t="shared" si="4"/>
        <v>0</v>
      </c>
      <c r="N54" s="181">
        <f t="shared" si="5"/>
        <v>0</v>
      </c>
      <c r="O54" s="113">
        <f t="shared" ref="O54:AH54" si="44">O55+O56</f>
        <v>0</v>
      </c>
      <c r="P54" s="113">
        <f t="shared" si="44"/>
        <v>0</v>
      </c>
      <c r="Q54" s="113">
        <f t="shared" si="44"/>
        <v>0</v>
      </c>
      <c r="R54" s="113">
        <f t="shared" si="44"/>
        <v>0</v>
      </c>
      <c r="S54" s="113">
        <f t="shared" si="44"/>
        <v>0</v>
      </c>
      <c r="T54" s="113">
        <f t="shared" si="44"/>
        <v>0</v>
      </c>
      <c r="U54" s="113">
        <f t="shared" si="44"/>
        <v>0</v>
      </c>
      <c r="V54" s="113">
        <f t="shared" si="44"/>
        <v>0</v>
      </c>
      <c r="W54" s="113">
        <f t="shared" si="44"/>
        <v>0</v>
      </c>
      <c r="X54" s="113">
        <f t="shared" si="44"/>
        <v>0</v>
      </c>
      <c r="Y54" s="113">
        <f t="shared" si="44"/>
        <v>0</v>
      </c>
      <c r="Z54" s="113">
        <f t="shared" si="44"/>
        <v>0</v>
      </c>
      <c r="AA54" s="113">
        <f>'13'!BM59</f>
        <v>0</v>
      </c>
      <c r="AB54" s="113">
        <f t="shared" si="44"/>
        <v>0</v>
      </c>
      <c r="AC54" s="113">
        <f t="shared" si="44"/>
        <v>0</v>
      </c>
      <c r="AD54" s="113">
        <f t="shared" si="44"/>
        <v>0</v>
      </c>
      <c r="AE54" s="113">
        <f t="shared" si="44"/>
        <v>0</v>
      </c>
      <c r="AF54" s="113">
        <f t="shared" si="44"/>
        <v>0</v>
      </c>
      <c r="AG54" s="113">
        <f t="shared" si="44"/>
        <v>0</v>
      </c>
      <c r="AH54" s="113">
        <f t="shared" si="44"/>
        <v>0</v>
      </c>
    </row>
    <row r="55" spans="1:34" s="105" customFormat="1" ht="78.75">
      <c r="A55" s="223" t="s">
        <v>415</v>
      </c>
      <c r="B55" s="224" t="s">
        <v>896</v>
      </c>
      <c r="C55" s="211" t="s">
        <v>876</v>
      </c>
      <c r="D55" s="163" t="s">
        <v>876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1">
        <f t="shared" si="1"/>
        <v>0</v>
      </c>
      <c r="K55" s="181">
        <f t="shared" si="2"/>
        <v>0</v>
      </c>
      <c r="L55" s="181">
        <f t="shared" si="3"/>
        <v>0</v>
      </c>
      <c r="M55" s="181">
        <f t="shared" si="4"/>
        <v>0</v>
      </c>
      <c r="N55" s="181">
        <f t="shared" si="5"/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f>'13'!BM60</f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</row>
    <row r="56" spans="1:34" s="105" customFormat="1" ht="63">
      <c r="A56" s="223" t="s">
        <v>416</v>
      </c>
      <c r="B56" s="224" t="s">
        <v>897</v>
      </c>
      <c r="C56" s="211" t="s">
        <v>876</v>
      </c>
      <c r="D56" s="163" t="s">
        <v>876</v>
      </c>
      <c r="E56" s="185">
        <v>0</v>
      </c>
      <c r="F56" s="185">
        <v>0</v>
      </c>
      <c r="G56" s="185">
        <v>0</v>
      </c>
      <c r="H56" s="185">
        <v>0</v>
      </c>
      <c r="I56" s="185">
        <v>0</v>
      </c>
      <c r="J56" s="181">
        <f t="shared" si="1"/>
        <v>0</v>
      </c>
      <c r="K56" s="181">
        <f t="shared" si="2"/>
        <v>0</v>
      </c>
      <c r="L56" s="181">
        <f t="shared" si="3"/>
        <v>0</v>
      </c>
      <c r="M56" s="181">
        <f t="shared" si="4"/>
        <v>0</v>
      </c>
      <c r="N56" s="181">
        <f t="shared" si="5"/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f>'13'!BM61</f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</row>
    <row r="57" spans="1:34" s="105" customFormat="1" ht="63">
      <c r="A57" s="225" t="s">
        <v>745</v>
      </c>
      <c r="B57" s="224" t="s">
        <v>898</v>
      </c>
      <c r="C57" s="211" t="s">
        <v>876</v>
      </c>
      <c r="D57" s="163" t="s">
        <v>876</v>
      </c>
      <c r="E57" s="185">
        <v>0</v>
      </c>
      <c r="F57" s="185">
        <v>0</v>
      </c>
      <c r="G57" s="185">
        <v>0</v>
      </c>
      <c r="H57" s="185">
        <v>0</v>
      </c>
      <c r="I57" s="185">
        <v>0</v>
      </c>
      <c r="J57" s="181">
        <f t="shared" si="1"/>
        <v>0</v>
      </c>
      <c r="K57" s="181">
        <f t="shared" si="2"/>
        <v>0</v>
      </c>
      <c r="L57" s="181">
        <f t="shared" si="3"/>
        <v>0</v>
      </c>
      <c r="M57" s="181">
        <f t="shared" si="4"/>
        <v>0</v>
      </c>
      <c r="N57" s="181">
        <f t="shared" si="5"/>
        <v>0</v>
      </c>
      <c r="O57" s="113">
        <f t="shared" ref="O57:AH57" si="45">O58+O59+O60+O61+O62+O63+O64+O65</f>
        <v>0</v>
      </c>
      <c r="P57" s="113">
        <f t="shared" si="45"/>
        <v>0</v>
      </c>
      <c r="Q57" s="113">
        <f t="shared" si="45"/>
        <v>0</v>
      </c>
      <c r="R57" s="113">
        <f t="shared" si="45"/>
        <v>0</v>
      </c>
      <c r="S57" s="113">
        <f t="shared" si="45"/>
        <v>0</v>
      </c>
      <c r="T57" s="113">
        <f t="shared" si="45"/>
        <v>0</v>
      </c>
      <c r="U57" s="113">
        <f t="shared" si="45"/>
        <v>0</v>
      </c>
      <c r="V57" s="113">
        <f t="shared" si="45"/>
        <v>0</v>
      </c>
      <c r="W57" s="113">
        <f t="shared" si="45"/>
        <v>0</v>
      </c>
      <c r="X57" s="113">
        <f t="shared" si="45"/>
        <v>0</v>
      </c>
      <c r="Y57" s="113">
        <f t="shared" si="45"/>
        <v>0</v>
      </c>
      <c r="Z57" s="113">
        <f t="shared" si="45"/>
        <v>0</v>
      </c>
      <c r="AA57" s="113">
        <f>'13'!BM62</f>
        <v>0</v>
      </c>
      <c r="AB57" s="113">
        <f t="shared" si="45"/>
        <v>0</v>
      </c>
      <c r="AC57" s="113">
        <f t="shared" si="45"/>
        <v>0</v>
      </c>
      <c r="AD57" s="113">
        <f t="shared" si="45"/>
        <v>0</v>
      </c>
      <c r="AE57" s="113">
        <f t="shared" si="45"/>
        <v>0</v>
      </c>
      <c r="AF57" s="113">
        <f t="shared" si="45"/>
        <v>0</v>
      </c>
      <c r="AG57" s="113">
        <f t="shared" si="45"/>
        <v>0</v>
      </c>
      <c r="AH57" s="113">
        <f t="shared" si="45"/>
        <v>0</v>
      </c>
    </row>
    <row r="58" spans="1:34" s="105" customFormat="1" ht="63">
      <c r="A58" s="223" t="s">
        <v>899</v>
      </c>
      <c r="B58" s="224" t="s">
        <v>900</v>
      </c>
      <c r="C58" s="211" t="s">
        <v>876</v>
      </c>
      <c r="D58" s="163" t="s">
        <v>876</v>
      </c>
      <c r="E58" s="185">
        <v>0</v>
      </c>
      <c r="F58" s="185">
        <v>0</v>
      </c>
      <c r="G58" s="185">
        <v>0</v>
      </c>
      <c r="H58" s="185">
        <v>0</v>
      </c>
      <c r="I58" s="185">
        <v>0</v>
      </c>
      <c r="J58" s="181">
        <f t="shared" si="1"/>
        <v>0</v>
      </c>
      <c r="K58" s="181">
        <f t="shared" si="2"/>
        <v>0</v>
      </c>
      <c r="L58" s="181">
        <f t="shared" si="3"/>
        <v>0</v>
      </c>
      <c r="M58" s="181">
        <f t="shared" si="4"/>
        <v>0</v>
      </c>
      <c r="N58" s="181">
        <f t="shared" si="5"/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f>'13'!BM63</f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</row>
    <row r="59" spans="1:34" s="105" customFormat="1" ht="141.75">
      <c r="A59" s="223" t="s">
        <v>899</v>
      </c>
      <c r="B59" s="224" t="s">
        <v>901</v>
      </c>
      <c r="C59" s="211" t="s">
        <v>876</v>
      </c>
      <c r="D59" s="163" t="s">
        <v>876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1">
        <f t="shared" si="1"/>
        <v>0</v>
      </c>
      <c r="K59" s="181">
        <f t="shared" si="2"/>
        <v>0</v>
      </c>
      <c r="L59" s="181">
        <f t="shared" si="3"/>
        <v>0</v>
      </c>
      <c r="M59" s="181">
        <f t="shared" si="4"/>
        <v>0</v>
      </c>
      <c r="N59" s="181">
        <f t="shared" si="5"/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f>'13'!BM64</f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</row>
    <row r="60" spans="1:34" s="105" customFormat="1" ht="126">
      <c r="A60" s="223" t="s">
        <v>899</v>
      </c>
      <c r="B60" s="224" t="s">
        <v>902</v>
      </c>
      <c r="C60" s="211" t="s">
        <v>876</v>
      </c>
      <c r="D60" s="163" t="s">
        <v>876</v>
      </c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1">
        <f t="shared" si="1"/>
        <v>0</v>
      </c>
      <c r="K60" s="181">
        <f t="shared" si="2"/>
        <v>0</v>
      </c>
      <c r="L60" s="181">
        <f t="shared" si="3"/>
        <v>0</v>
      </c>
      <c r="M60" s="181">
        <f t="shared" si="4"/>
        <v>0</v>
      </c>
      <c r="N60" s="181">
        <f t="shared" si="5"/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f>'13'!BM65</f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</row>
    <row r="61" spans="1:34" s="105" customFormat="1" ht="141.75">
      <c r="A61" s="223" t="s">
        <v>899</v>
      </c>
      <c r="B61" s="224" t="s">
        <v>903</v>
      </c>
      <c r="C61" s="211" t="s">
        <v>876</v>
      </c>
      <c r="D61" s="163" t="s">
        <v>876</v>
      </c>
      <c r="E61" s="185">
        <v>0</v>
      </c>
      <c r="F61" s="185">
        <v>0</v>
      </c>
      <c r="G61" s="185">
        <v>0</v>
      </c>
      <c r="H61" s="185">
        <v>0</v>
      </c>
      <c r="I61" s="185">
        <v>0</v>
      </c>
      <c r="J61" s="181">
        <f t="shared" si="1"/>
        <v>0</v>
      </c>
      <c r="K61" s="181">
        <f t="shared" si="2"/>
        <v>0</v>
      </c>
      <c r="L61" s="181">
        <f t="shared" si="3"/>
        <v>0</v>
      </c>
      <c r="M61" s="181">
        <f t="shared" si="4"/>
        <v>0</v>
      </c>
      <c r="N61" s="181">
        <f t="shared" si="5"/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f>'13'!BM66</f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</row>
    <row r="62" spans="1:34" s="105" customFormat="1" ht="63">
      <c r="A62" s="223" t="s">
        <v>904</v>
      </c>
      <c r="B62" s="224" t="s">
        <v>900</v>
      </c>
      <c r="C62" s="211" t="s">
        <v>876</v>
      </c>
      <c r="D62" s="163" t="s">
        <v>876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1">
        <f t="shared" si="1"/>
        <v>0</v>
      </c>
      <c r="K62" s="181">
        <f t="shared" si="2"/>
        <v>0</v>
      </c>
      <c r="L62" s="181">
        <f t="shared" si="3"/>
        <v>0</v>
      </c>
      <c r="M62" s="181">
        <f t="shared" si="4"/>
        <v>0</v>
      </c>
      <c r="N62" s="181">
        <f t="shared" si="5"/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f>'13'!BM67</f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</row>
    <row r="63" spans="1:34" s="105" customFormat="1" ht="141.75">
      <c r="A63" s="223" t="s">
        <v>904</v>
      </c>
      <c r="B63" s="224" t="s">
        <v>901</v>
      </c>
      <c r="C63" s="211" t="s">
        <v>876</v>
      </c>
      <c r="D63" s="163" t="s">
        <v>876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1">
        <f t="shared" si="1"/>
        <v>0</v>
      </c>
      <c r="K63" s="181">
        <f t="shared" si="2"/>
        <v>0</v>
      </c>
      <c r="L63" s="181">
        <f t="shared" si="3"/>
        <v>0</v>
      </c>
      <c r="M63" s="181">
        <f t="shared" si="4"/>
        <v>0</v>
      </c>
      <c r="N63" s="181">
        <f t="shared" si="5"/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f>'13'!BM68</f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</row>
    <row r="64" spans="1:34" s="105" customFormat="1" ht="126">
      <c r="A64" s="223" t="s">
        <v>904</v>
      </c>
      <c r="B64" s="224" t="s">
        <v>902</v>
      </c>
      <c r="C64" s="211" t="s">
        <v>876</v>
      </c>
      <c r="D64" s="163" t="s">
        <v>876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1">
        <f t="shared" si="1"/>
        <v>0</v>
      </c>
      <c r="K64" s="181">
        <f t="shared" si="2"/>
        <v>0</v>
      </c>
      <c r="L64" s="181">
        <f t="shared" si="3"/>
        <v>0</v>
      </c>
      <c r="M64" s="181">
        <f t="shared" si="4"/>
        <v>0</v>
      </c>
      <c r="N64" s="181">
        <f t="shared" si="5"/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f>'13'!BM69</f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</row>
    <row r="65" spans="1:34" s="105" customFormat="1" ht="141.75">
      <c r="A65" s="223" t="s">
        <v>904</v>
      </c>
      <c r="B65" s="224" t="s">
        <v>903</v>
      </c>
      <c r="C65" s="211" t="s">
        <v>876</v>
      </c>
      <c r="D65" s="163" t="s">
        <v>876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1">
        <f t="shared" si="1"/>
        <v>0</v>
      </c>
      <c r="K65" s="181">
        <f t="shared" si="2"/>
        <v>0</v>
      </c>
      <c r="L65" s="181">
        <f t="shared" si="3"/>
        <v>0</v>
      </c>
      <c r="M65" s="181">
        <f t="shared" si="4"/>
        <v>0</v>
      </c>
      <c r="N65" s="181">
        <f t="shared" si="5"/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f>'13'!BM70</f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</row>
    <row r="66" spans="1:34" s="105" customFormat="1" ht="110.25">
      <c r="A66" s="225" t="s">
        <v>905</v>
      </c>
      <c r="B66" s="224" t="s">
        <v>906</v>
      </c>
      <c r="C66" s="211" t="s">
        <v>876</v>
      </c>
      <c r="D66" s="163" t="s">
        <v>876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1">
        <f t="shared" si="1"/>
        <v>0</v>
      </c>
      <c r="K66" s="181">
        <f t="shared" si="2"/>
        <v>0</v>
      </c>
      <c r="L66" s="181">
        <f t="shared" si="3"/>
        <v>0</v>
      </c>
      <c r="M66" s="181">
        <f t="shared" si="4"/>
        <v>0</v>
      </c>
      <c r="N66" s="181">
        <f t="shared" si="5"/>
        <v>0</v>
      </c>
      <c r="O66" s="113">
        <f t="shared" ref="O66:AH66" si="46">O67+O68</f>
        <v>0</v>
      </c>
      <c r="P66" s="113">
        <f t="shared" si="46"/>
        <v>0</v>
      </c>
      <c r="Q66" s="113">
        <f t="shared" si="46"/>
        <v>0</v>
      </c>
      <c r="R66" s="113">
        <f t="shared" si="46"/>
        <v>0</v>
      </c>
      <c r="S66" s="113">
        <f t="shared" si="46"/>
        <v>0</v>
      </c>
      <c r="T66" s="113">
        <f t="shared" si="46"/>
        <v>0</v>
      </c>
      <c r="U66" s="113">
        <f t="shared" si="46"/>
        <v>0</v>
      </c>
      <c r="V66" s="113">
        <f t="shared" si="46"/>
        <v>0</v>
      </c>
      <c r="W66" s="113">
        <f t="shared" si="46"/>
        <v>0</v>
      </c>
      <c r="X66" s="113">
        <f t="shared" si="46"/>
        <v>0</v>
      </c>
      <c r="Y66" s="113">
        <f t="shared" si="46"/>
        <v>0</v>
      </c>
      <c r="Z66" s="113">
        <f t="shared" si="46"/>
        <v>0</v>
      </c>
      <c r="AA66" s="113">
        <f>'13'!BM71</f>
        <v>0</v>
      </c>
      <c r="AB66" s="113">
        <f t="shared" si="46"/>
        <v>0</v>
      </c>
      <c r="AC66" s="113">
        <f t="shared" si="46"/>
        <v>0</v>
      </c>
      <c r="AD66" s="113">
        <f t="shared" si="46"/>
        <v>0</v>
      </c>
      <c r="AE66" s="113">
        <f t="shared" si="46"/>
        <v>0</v>
      </c>
      <c r="AF66" s="113">
        <f t="shared" si="46"/>
        <v>0</v>
      </c>
      <c r="AG66" s="113">
        <f t="shared" si="46"/>
        <v>0</v>
      </c>
      <c r="AH66" s="113">
        <f t="shared" si="46"/>
        <v>0</v>
      </c>
    </row>
    <row r="67" spans="1:34" s="105" customFormat="1" ht="126">
      <c r="A67" s="223" t="s">
        <v>907</v>
      </c>
      <c r="B67" s="224" t="s">
        <v>902</v>
      </c>
      <c r="C67" s="211" t="s">
        <v>876</v>
      </c>
      <c r="D67" s="163" t="s">
        <v>876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1">
        <f t="shared" si="1"/>
        <v>0</v>
      </c>
      <c r="K67" s="181">
        <f t="shared" si="2"/>
        <v>0</v>
      </c>
      <c r="L67" s="181">
        <f t="shared" si="3"/>
        <v>0</v>
      </c>
      <c r="M67" s="181">
        <f t="shared" si="4"/>
        <v>0</v>
      </c>
      <c r="N67" s="181">
        <f t="shared" si="5"/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f>'13'!BM72</f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</row>
    <row r="68" spans="1:34" s="105" customFormat="1" ht="110.25">
      <c r="A68" s="223" t="s">
        <v>908</v>
      </c>
      <c r="B68" s="224" t="s">
        <v>909</v>
      </c>
      <c r="C68" s="211" t="s">
        <v>876</v>
      </c>
      <c r="D68" s="163" t="s">
        <v>876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1">
        <f t="shared" si="1"/>
        <v>0</v>
      </c>
      <c r="K68" s="181">
        <f t="shared" si="2"/>
        <v>0</v>
      </c>
      <c r="L68" s="181">
        <f t="shared" si="3"/>
        <v>0</v>
      </c>
      <c r="M68" s="181">
        <f t="shared" si="4"/>
        <v>0</v>
      </c>
      <c r="N68" s="181">
        <f t="shared" si="5"/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f>'13'!BM73</f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</row>
    <row r="69" spans="1:34" s="105" customFormat="1" ht="47.25">
      <c r="A69" s="225" t="s">
        <v>910</v>
      </c>
      <c r="B69" s="224" t="s">
        <v>911</v>
      </c>
      <c r="C69" s="211" t="s">
        <v>876</v>
      </c>
      <c r="D69" s="163" t="s">
        <v>876</v>
      </c>
      <c r="E69" s="183">
        <v>0</v>
      </c>
      <c r="F69" s="183">
        <v>0</v>
      </c>
      <c r="G69" s="183">
        <v>6.4150000000000009</v>
      </c>
      <c r="H69" s="183">
        <v>0</v>
      </c>
      <c r="I69" s="183">
        <v>0</v>
      </c>
      <c r="J69" s="181">
        <f t="shared" si="1"/>
        <v>0</v>
      </c>
      <c r="K69" s="181">
        <f t="shared" si="2"/>
        <v>0</v>
      </c>
      <c r="L69" s="181">
        <f t="shared" si="3"/>
        <v>2.7749999999999999</v>
      </c>
      <c r="M69" s="181">
        <f t="shared" si="4"/>
        <v>0</v>
      </c>
      <c r="N69" s="181">
        <f t="shared" si="5"/>
        <v>0</v>
      </c>
      <c r="O69" s="113">
        <f t="shared" ref="O69:Z69" si="47">O70+O75+O83+O92</f>
        <v>0</v>
      </c>
      <c r="P69" s="113">
        <f t="shared" si="47"/>
        <v>0</v>
      </c>
      <c r="Q69" s="113">
        <f t="shared" si="47"/>
        <v>0</v>
      </c>
      <c r="R69" s="113">
        <f t="shared" si="47"/>
        <v>0</v>
      </c>
      <c r="S69" s="113">
        <f t="shared" si="47"/>
        <v>0</v>
      </c>
      <c r="T69" s="113">
        <f t="shared" si="47"/>
        <v>0</v>
      </c>
      <c r="U69" s="113">
        <f t="shared" si="47"/>
        <v>0</v>
      </c>
      <c r="V69" s="113">
        <f t="shared" si="47"/>
        <v>0</v>
      </c>
      <c r="W69" s="113">
        <f t="shared" si="47"/>
        <v>0</v>
      </c>
      <c r="X69" s="113">
        <f t="shared" si="47"/>
        <v>0</v>
      </c>
      <c r="Y69" s="113">
        <f t="shared" si="47"/>
        <v>0</v>
      </c>
      <c r="Z69" s="113">
        <f t="shared" si="47"/>
        <v>0</v>
      </c>
      <c r="AA69" s="113">
        <f>'13'!BM74</f>
        <v>0</v>
      </c>
      <c r="AB69" s="113">
        <f t="shared" ref="AB69:AH69" si="48">AB70+AB75+AB83+AB92</f>
        <v>0</v>
      </c>
      <c r="AC69" s="113">
        <f t="shared" si="48"/>
        <v>0</v>
      </c>
      <c r="AD69" s="113">
        <f t="shared" si="48"/>
        <v>0</v>
      </c>
      <c r="AE69" s="113">
        <f t="shared" si="48"/>
        <v>0</v>
      </c>
      <c r="AF69" s="113">
        <f t="shared" si="48"/>
        <v>2.7749999999999999</v>
      </c>
      <c r="AG69" s="113">
        <f t="shared" si="48"/>
        <v>0</v>
      </c>
      <c r="AH69" s="113">
        <f t="shared" si="48"/>
        <v>0</v>
      </c>
    </row>
    <row r="70" spans="1:34" s="105" customFormat="1" ht="78.75">
      <c r="A70" s="225" t="s">
        <v>840</v>
      </c>
      <c r="B70" s="224" t="s">
        <v>912</v>
      </c>
      <c r="C70" s="211" t="s">
        <v>876</v>
      </c>
      <c r="D70" s="163" t="s">
        <v>876</v>
      </c>
      <c r="E70" s="183">
        <v>0</v>
      </c>
      <c r="F70" s="183">
        <v>0</v>
      </c>
      <c r="G70" s="183">
        <v>0</v>
      </c>
      <c r="H70" s="183">
        <v>0</v>
      </c>
      <c r="I70" s="183">
        <v>0</v>
      </c>
      <c r="J70" s="181">
        <f t="shared" si="1"/>
        <v>0</v>
      </c>
      <c r="K70" s="181">
        <f t="shared" si="2"/>
        <v>0</v>
      </c>
      <c r="L70" s="181">
        <f t="shared" si="3"/>
        <v>0</v>
      </c>
      <c r="M70" s="181">
        <f t="shared" si="4"/>
        <v>0</v>
      </c>
      <c r="N70" s="181">
        <f t="shared" si="5"/>
        <v>0</v>
      </c>
      <c r="O70" s="113">
        <f t="shared" ref="O70:AH70" si="49">O71+O74</f>
        <v>0</v>
      </c>
      <c r="P70" s="113">
        <f t="shared" si="49"/>
        <v>0</v>
      </c>
      <c r="Q70" s="113">
        <f t="shared" si="49"/>
        <v>0</v>
      </c>
      <c r="R70" s="113">
        <f t="shared" si="49"/>
        <v>0</v>
      </c>
      <c r="S70" s="113">
        <f t="shared" si="49"/>
        <v>0</v>
      </c>
      <c r="T70" s="113">
        <f t="shared" si="49"/>
        <v>0</v>
      </c>
      <c r="U70" s="113">
        <f t="shared" si="49"/>
        <v>0</v>
      </c>
      <c r="V70" s="113">
        <f t="shared" si="49"/>
        <v>0</v>
      </c>
      <c r="W70" s="113">
        <f t="shared" si="49"/>
        <v>0</v>
      </c>
      <c r="X70" s="113">
        <f t="shared" si="49"/>
        <v>0</v>
      </c>
      <c r="Y70" s="113">
        <f t="shared" si="49"/>
        <v>0</v>
      </c>
      <c r="Z70" s="113">
        <f t="shared" si="49"/>
        <v>0</v>
      </c>
      <c r="AA70" s="113">
        <f>'13'!BM75</f>
        <v>0</v>
      </c>
      <c r="AB70" s="113">
        <f t="shared" si="49"/>
        <v>0</v>
      </c>
      <c r="AC70" s="113">
        <f t="shared" si="49"/>
        <v>0</v>
      </c>
      <c r="AD70" s="113">
        <f t="shared" si="49"/>
        <v>0</v>
      </c>
      <c r="AE70" s="113">
        <f t="shared" si="49"/>
        <v>0</v>
      </c>
      <c r="AF70" s="113">
        <f t="shared" si="49"/>
        <v>0</v>
      </c>
      <c r="AG70" s="113">
        <f t="shared" si="49"/>
        <v>0</v>
      </c>
      <c r="AH70" s="113">
        <f t="shared" si="49"/>
        <v>0</v>
      </c>
    </row>
    <row r="71" spans="1:34" s="105" customFormat="1" ht="47.25">
      <c r="A71" s="225" t="s">
        <v>421</v>
      </c>
      <c r="B71" s="224" t="s">
        <v>913</v>
      </c>
      <c r="C71" s="222" t="s">
        <v>876</v>
      </c>
      <c r="D71" s="163" t="s">
        <v>876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f t="shared" si="1"/>
        <v>0</v>
      </c>
      <c r="K71" s="181">
        <f t="shared" si="2"/>
        <v>0</v>
      </c>
      <c r="L71" s="181">
        <f t="shared" si="3"/>
        <v>0</v>
      </c>
      <c r="M71" s="181">
        <f t="shared" si="4"/>
        <v>0</v>
      </c>
      <c r="N71" s="181">
        <f t="shared" si="5"/>
        <v>0</v>
      </c>
      <c r="O71" s="113">
        <v>0</v>
      </c>
      <c r="P71" s="113">
        <v>0</v>
      </c>
      <c r="Q71" s="113">
        <v>0</v>
      </c>
      <c r="R71" s="113">
        <v>0</v>
      </c>
      <c r="S71" s="113">
        <v>0</v>
      </c>
      <c r="T71" s="113">
        <v>0</v>
      </c>
      <c r="U71" s="113">
        <v>0</v>
      </c>
      <c r="V71" s="113">
        <v>0</v>
      </c>
      <c r="W71" s="113">
        <v>0</v>
      </c>
      <c r="X71" s="113">
        <v>0</v>
      </c>
      <c r="Y71" s="113">
        <v>0</v>
      </c>
      <c r="Z71" s="113">
        <v>0</v>
      </c>
      <c r="AA71" s="113">
        <f>'13'!BM76</f>
        <v>0</v>
      </c>
      <c r="AB71" s="113">
        <v>0</v>
      </c>
      <c r="AC71" s="113">
        <v>0</v>
      </c>
      <c r="AD71" s="113">
        <v>0</v>
      </c>
      <c r="AE71" s="113">
        <v>0</v>
      </c>
      <c r="AF71" s="113">
        <v>0</v>
      </c>
      <c r="AG71" s="113">
        <v>0</v>
      </c>
      <c r="AH71" s="113">
        <v>0</v>
      </c>
    </row>
    <row r="72" spans="1:34" s="152" customFormat="1" ht="31.5">
      <c r="A72" s="229" t="s">
        <v>423</v>
      </c>
      <c r="B72" s="230" t="s">
        <v>1070</v>
      </c>
      <c r="C72" s="231" t="s">
        <v>1086</v>
      </c>
      <c r="D72" s="163" t="s">
        <v>876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13">
        <v>0</v>
      </c>
      <c r="P72" s="113">
        <v>0</v>
      </c>
      <c r="Q72" s="113">
        <v>0</v>
      </c>
      <c r="R72" s="113">
        <v>0</v>
      </c>
      <c r="S72" s="113">
        <v>0</v>
      </c>
      <c r="T72" s="113">
        <v>0</v>
      </c>
      <c r="U72" s="113">
        <v>0</v>
      </c>
      <c r="V72" s="113">
        <v>0</v>
      </c>
      <c r="W72" s="113">
        <v>0</v>
      </c>
      <c r="X72" s="113">
        <v>0</v>
      </c>
      <c r="Y72" s="113">
        <v>0</v>
      </c>
      <c r="Z72" s="113">
        <v>0</v>
      </c>
      <c r="AA72" s="113">
        <f>'13'!BM77</f>
        <v>0</v>
      </c>
      <c r="AB72" s="113">
        <v>0</v>
      </c>
      <c r="AC72" s="113">
        <v>0</v>
      </c>
      <c r="AD72" s="113">
        <v>0</v>
      </c>
      <c r="AE72" s="113">
        <v>0</v>
      </c>
      <c r="AF72" s="113">
        <v>0</v>
      </c>
      <c r="AG72" s="113">
        <v>0</v>
      </c>
      <c r="AH72" s="113">
        <v>0</v>
      </c>
    </row>
    <row r="73" spans="1:34" s="152" customFormat="1">
      <c r="A73" s="229" t="s">
        <v>424</v>
      </c>
      <c r="B73" s="230" t="s">
        <v>1071</v>
      </c>
      <c r="C73" s="231" t="s">
        <v>1090</v>
      </c>
      <c r="D73" s="163" t="s">
        <v>876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13">
        <v>0</v>
      </c>
      <c r="P73" s="113">
        <v>0</v>
      </c>
      <c r="Q73" s="113">
        <v>0</v>
      </c>
      <c r="R73" s="113">
        <v>0</v>
      </c>
      <c r="S73" s="113">
        <v>0</v>
      </c>
      <c r="T73" s="113">
        <v>0</v>
      </c>
      <c r="U73" s="113">
        <v>0</v>
      </c>
      <c r="V73" s="113">
        <v>0</v>
      </c>
      <c r="W73" s="113">
        <v>0</v>
      </c>
      <c r="X73" s="113">
        <v>0</v>
      </c>
      <c r="Y73" s="113">
        <v>0</v>
      </c>
      <c r="Z73" s="113">
        <v>0</v>
      </c>
      <c r="AA73" s="113">
        <f>'13'!BM78</f>
        <v>0</v>
      </c>
      <c r="AB73" s="113">
        <v>0</v>
      </c>
      <c r="AC73" s="113">
        <v>0</v>
      </c>
      <c r="AD73" s="113">
        <v>0</v>
      </c>
      <c r="AE73" s="113">
        <v>0</v>
      </c>
      <c r="AF73" s="113">
        <v>0</v>
      </c>
      <c r="AG73" s="113">
        <v>0</v>
      </c>
      <c r="AH73" s="113">
        <v>0</v>
      </c>
    </row>
    <row r="74" spans="1:34" s="105" customFormat="1" ht="78.75">
      <c r="A74" s="225" t="s">
        <v>426</v>
      </c>
      <c r="B74" s="224" t="s">
        <v>914</v>
      </c>
      <c r="C74" s="211" t="s">
        <v>876</v>
      </c>
      <c r="D74" s="163" t="s">
        <v>876</v>
      </c>
      <c r="E74" s="185">
        <v>0</v>
      </c>
      <c r="F74" s="185">
        <v>0</v>
      </c>
      <c r="G74" s="185">
        <v>0</v>
      </c>
      <c r="H74" s="185">
        <v>0</v>
      </c>
      <c r="I74" s="185">
        <v>0</v>
      </c>
      <c r="J74" s="181">
        <f t="shared" si="1"/>
        <v>0</v>
      </c>
      <c r="K74" s="181">
        <f t="shared" si="2"/>
        <v>0</v>
      </c>
      <c r="L74" s="181">
        <f t="shared" si="3"/>
        <v>0</v>
      </c>
      <c r="M74" s="181">
        <f t="shared" si="4"/>
        <v>0</v>
      </c>
      <c r="N74" s="181">
        <f t="shared" si="5"/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f>'13'!BM79</f>
        <v>0</v>
      </c>
      <c r="AB74" s="113">
        <v>0</v>
      </c>
      <c r="AC74" s="113">
        <v>0</v>
      </c>
      <c r="AD74" s="113">
        <v>0</v>
      </c>
      <c r="AE74" s="113">
        <v>0</v>
      </c>
      <c r="AF74" s="113">
        <v>0</v>
      </c>
      <c r="AG74" s="113">
        <v>0</v>
      </c>
      <c r="AH74" s="113">
        <v>0</v>
      </c>
    </row>
    <row r="75" spans="1:34" s="105" customFormat="1" ht="63">
      <c r="A75" s="225" t="s">
        <v>841</v>
      </c>
      <c r="B75" s="224" t="s">
        <v>915</v>
      </c>
      <c r="C75" s="211" t="s">
        <v>876</v>
      </c>
      <c r="D75" s="163" t="s">
        <v>876</v>
      </c>
      <c r="E75" s="183">
        <v>0</v>
      </c>
      <c r="F75" s="183">
        <v>0</v>
      </c>
      <c r="G75" s="183">
        <f>G76</f>
        <v>2.7749999999999999</v>
      </c>
      <c r="H75" s="183">
        <v>0</v>
      </c>
      <c r="I75" s="183">
        <v>0</v>
      </c>
      <c r="J75" s="181">
        <f t="shared" si="1"/>
        <v>0</v>
      </c>
      <c r="K75" s="181">
        <f t="shared" si="2"/>
        <v>0</v>
      </c>
      <c r="L75" s="181">
        <f t="shared" si="3"/>
        <v>2.7749999999999999</v>
      </c>
      <c r="M75" s="181">
        <f t="shared" si="4"/>
        <v>0</v>
      </c>
      <c r="N75" s="181">
        <f t="shared" si="5"/>
        <v>0</v>
      </c>
      <c r="O75" s="113">
        <f t="shared" ref="O75:Z75" si="50">O76+O82</f>
        <v>0</v>
      </c>
      <c r="P75" s="113">
        <f t="shared" si="50"/>
        <v>0</v>
      </c>
      <c r="Q75" s="113">
        <f t="shared" si="50"/>
        <v>0</v>
      </c>
      <c r="R75" s="113">
        <f t="shared" si="50"/>
        <v>0</v>
      </c>
      <c r="S75" s="113">
        <f t="shared" si="50"/>
        <v>0</v>
      </c>
      <c r="T75" s="113">
        <f t="shared" si="50"/>
        <v>0</v>
      </c>
      <c r="U75" s="113">
        <f t="shared" si="50"/>
        <v>0</v>
      </c>
      <c r="V75" s="113">
        <f t="shared" si="50"/>
        <v>0</v>
      </c>
      <c r="W75" s="113">
        <f t="shared" si="50"/>
        <v>0</v>
      </c>
      <c r="X75" s="113">
        <f t="shared" si="50"/>
        <v>0</v>
      </c>
      <c r="Y75" s="113">
        <f t="shared" si="50"/>
        <v>0</v>
      </c>
      <c r="Z75" s="113">
        <f t="shared" si="50"/>
        <v>0</v>
      </c>
      <c r="AA75" s="113">
        <f>'13'!BM80</f>
        <v>0</v>
      </c>
      <c r="AB75" s="113">
        <f t="shared" ref="AB75:AH75" si="51">AB76+AB82</f>
        <v>0</v>
      </c>
      <c r="AC75" s="113">
        <f t="shared" si="51"/>
        <v>0</v>
      </c>
      <c r="AD75" s="113">
        <f t="shared" si="51"/>
        <v>0</v>
      </c>
      <c r="AE75" s="113">
        <f t="shared" si="51"/>
        <v>0</v>
      </c>
      <c r="AF75" s="113">
        <f t="shared" si="51"/>
        <v>2.7749999999999999</v>
      </c>
      <c r="AG75" s="113">
        <f t="shared" si="51"/>
        <v>0</v>
      </c>
      <c r="AH75" s="113">
        <f t="shared" si="51"/>
        <v>0</v>
      </c>
    </row>
    <row r="76" spans="1:34" s="105" customFormat="1" ht="47.25">
      <c r="A76" s="225" t="s">
        <v>916</v>
      </c>
      <c r="B76" s="224" t="s">
        <v>917</v>
      </c>
      <c r="C76" s="222" t="s">
        <v>876</v>
      </c>
      <c r="D76" s="163" t="s">
        <v>876</v>
      </c>
      <c r="E76" s="181">
        <v>0</v>
      </c>
      <c r="F76" s="181">
        <v>0</v>
      </c>
      <c r="G76" s="181">
        <f>G77+G78+G79+G80+G81</f>
        <v>2.7749999999999999</v>
      </c>
      <c r="H76" s="181">
        <v>0</v>
      </c>
      <c r="I76" s="181">
        <v>0</v>
      </c>
      <c r="J76" s="181">
        <f>O76+T76+Y76+AD76</f>
        <v>0</v>
      </c>
      <c r="K76" s="181">
        <f t="shared" si="2"/>
        <v>0</v>
      </c>
      <c r="L76" s="181">
        <f>Q76+V76+X76+AA76+AF76</f>
        <v>2.7749999999999999</v>
      </c>
      <c r="M76" s="181">
        <f>R76+W76+AB76+AG76</f>
        <v>0</v>
      </c>
      <c r="N76" s="181">
        <f>S76+X76+AC76+AH76</f>
        <v>0</v>
      </c>
      <c r="O76" s="113">
        <f>O78++O79+O80</f>
        <v>0</v>
      </c>
      <c r="P76" s="113">
        <f t="shared" ref="P76:AH76" si="52">P78++P79+P80</f>
        <v>0</v>
      </c>
      <c r="Q76" s="113">
        <f t="shared" si="52"/>
        <v>0</v>
      </c>
      <c r="R76" s="113">
        <f t="shared" si="52"/>
        <v>0</v>
      </c>
      <c r="S76" s="113">
        <f t="shared" si="52"/>
        <v>0</v>
      </c>
      <c r="T76" s="113">
        <f t="shared" si="52"/>
        <v>0</v>
      </c>
      <c r="U76" s="113">
        <f t="shared" si="52"/>
        <v>0</v>
      </c>
      <c r="V76" s="113">
        <f t="shared" si="52"/>
        <v>0</v>
      </c>
      <c r="W76" s="113">
        <f t="shared" si="52"/>
        <v>0</v>
      </c>
      <c r="X76" s="113">
        <f t="shared" si="52"/>
        <v>0</v>
      </c>
      <c r="Y76" s="113">
        <f t="shared" si="52"/>
        <v>0</v>
      </c>
      <c r="Z76" s="113">
        <f t="shared" si="52"/>
        <v>0</v>
      </c>
      <c r="AA76" s="113">
        <f>'13'!BM81</f>
        <v>0</v>
      </c>
      <c r="AB76" s="113">
        <f t="shared" si="52"/>
        <v>0</v>
      </c>
      <c r="AC76" s="113">
        <f t="shared" si="52"/>
        <v>0</v>
      </c>
      <c r="AD76" s="113">
        <f t="shared" si="52"/>
        <v>0</v>
      </c>
      <c r="AE76" s="113">
        <f t="shared" si="52"/>
        <v>0</v>
      </c>
      <c r="AF76" s="113">
        <f t="shared" si="52"/>
        <v>2.7749999999999999</v>
      </c>
      <c r="AG76" s="113">
        <f t="shared" si="52"/>
        <v>0</v>
      </c>
      <c r="AH76" s="113">
        <f t="shared" si="52"/>
        <v>0</v>
      </c>
    </row>
    <row r="77" spans="1:34" s="548" customFormat="1" ht="110.25">
      <c r="A77" s="229" t="s">
        <v>916</v>
      </c>
      <c r="B77" s="232" t="s">
        <v>918</v>
      </c>
      <c r="C77" s="228" t="s">
        <v>919</v>
      </c>
      <c r="D77" s="547" t="s">
        <v>876</v>
      </c>
      <c r="E77" s="185">
        <v>0</v>
      </c>
      <c r="F77" s="185">
        <v>0</v>
      </c>
      <c r="G77" s="185">
        <f>'13'!I83</f>
        <v>0</v>
      </c>
      <c r="H77" s="185">
        <v>0</v>
      </c>
      <c r="I77" s="185">
        <v>0</v>
      </c>
      <c r="J77" s="181">
        <f t="shared" ref="J77" si="53">O77+T77+Y77+AD77</f>
        <v>0</v>
      </c>
      <c r="K77" s="181">
        <f t="shared" ref="K77" si="54">P77+U77+Z77+AE77</f>
        <v>0</v>
      </c>
      <c r="L77" s="181">
        <f t="shared" ref="L77" si="55">Q77+V77+AA77+AF77</f>
        <v>0</v>
      </c>
      <c r="M77" s="181">
        <f t="shared" ref="M77" si="56">R77+W77+AB77+AG77</f>
        <v>0</v>
      </c>
      <c r="N77" s="181">
        <f t="shared" ref="N77" si="57">S77+X77+AC77+AH77</f>
        <v>0</v>
      </c>
      <c r="O77" s="113">
        <v>0</v>
      </c>
      <c r="P77" s="113">
        <v>0</v>
      </c>
      <c r="Q77" s="113">
        <f>'13'!AY83</f>
        <v>0</v>
      </c>
      <c r="R77" s="113">
        <v>0</v>
      </c>
      <c r="S77" s="113">
        <v>0</v>
      </c>
      <c r="T77" s="113">
        <v>0</v>
      </c>
      <c r="U77" s="113">
        <v>0</v>
      </c>
      <c r="V77" s="113">
        <f>'13'!BF83</f>
        <v>0</v>
      </c>
      <c r="W77" s="113">
        <v>0</v>
      </c>
      <c r="X77" s="113">
        <v>0</v>
      </c>
      <c r="Y77" s="113">
        <v>0</v>
      </c>
      <c r="Z77" s="113">
        <v>0</v>
      </c>
      <c r="AA77" s="113">
        <f>'13'!BM83</f>
        <v>0</v>
      </c>
      <c r="AB77" s="113">
        <v>0</v>
      </c>
      <c r="AC77" s="113">
        <v>0</v>
      </c>
      <c r="AD77" s="113">
        <v>0</v>
      </c>
      <c r="AE77" s="113">
        <v>0</v>
      </c>
      <c r="AF77" s="113">
        <f>'13'!BT83</f>
        <v>0</v>
      </c>
      <c r="AG77" s="113">
        <v>0</v>
      </c>
      <c r="AH77" s="113">
        <v>0</v>
      </c>
    </row>
    <row r="78" spans="1:34" s="105" customFormat="1" ht="94.5">
      <c r="A78" s="229" t="s">
        <v>916</v>
      </c>
      <c r="B78" s="232" t="s">
        <v>920</v>
      </c>
      <c r="C78" s="228" t="s">
        <v>921</v>
      </c>
      <c r="D78" s="163" t="s">
        <v>876</v>
      </c>
      <c r="E78" s="185">
        <v>0</v>
      </c>
      <c r="F78" s="185">
        <v>0</v>
      </c>
      <c r="G78" s="185">
        <f>'13'!I84</f>
        <v>0</v>
      </c>
      <c r="H78" s="185">
        <v>0</v>
      </c>
      <c r="I78" s="185">
        <v>0</v>
      </c>
      <c r="J78" s="181">
        <f t="shared" si="1"/>
        <v>0</v>
      </c>
      <c r="K78" s="181">
        <f t="shared" si="2"/>
        <v>0</v>
      </c>
      <c r="L78" s="181">
        <f t="shared" si="3"/>
        <v>0</v>
      </c>
      <c r="M78" s="181">
        <f t="shared" si="4"/>
        <v>0</v>
      </c>
      <c r="N78" s="181">
        <f t="shared" si="5"/>
        <v>0</v>
      </c>
      <c r="O78" s="113">
        <v>0</v>
      </c>
      <c r="P78" s="113">
        <v>0</v>
      </c>
      <c r="Q78" s="113">
        <f>'13'!AY84</f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f>'13'!BF84</f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f>'13'!BM84</f>
        <v>0</v>
      </c>
      <c r="AB78" s="113">
        <v>0</v>
      </c>
      <c r="AC78" s="113">
        <v>0</v>
      </c>
      <c r="AD78" s="113">
        <v>0</v>
      </c>
      <c r="AE78" s="113">
        <v>0</v>
      </c>
      <c r="AF78" s="113">
        <f>'13'!BT84</f>
        <v>0</v>
      </c>
      <c r="AG78" s="113">
        <v>0</v>
      </c>
      <c r="AH78" s="113">
        <v>0</v>
      </c>
    </row>
    <row r="79" spans="1:34" s="105" customFormat="1" ht="78.75">
      <c r="A79" s="229" t="s">
        <v>916</v>
      </c>
      <c r="B79" s="232" t="s">
        <v>922</v>
      </c>
      <c r="C79" s="228" t="s">
        <v>923</v>
      </c>
      <c r="D79" s="163" t="s">
        <v>876</v>
      </c>
      <c r="E79" s="185">
        <v>0</v>
      </c>
      <c r="F79" s="185">
        <v>0</v>
      </c>
      <c r="G79" s="185">
        <f>'13'!I85</f>
        <v>1</v>
      </c>
      <c r="H79" s="185">
        <v>0</v>
      </c>
      <c r="I79" s="185">
        <v>0</v>
      </c>
      <c r="J79" s="181">
        <f t="shared" si="1"/>
        <v>0</v>
      </c>
      <c r="K79" s="181">
        <f t="shared" si="2"/>
        <v>0</v>
      </c>
      <c r="L79" s="181">
        <f t="shared" si="3"/>
        <v>1</v>
      </c>
      <c r="M79" s="181">
        <f t="shared" si="4"/>
        <v>0</v>
      </c>
      <c r="N79" s="181">
        <f t="shared" si="5"/>
        <v>0</v>
      </c>
      <c r="O79" s="113">
        <v>0</v>
      </c>
      <c r="P79" s="113">
        <v>0</v>
      </c>
      <c r="Q79" s="113">
        <f>'13'!AY85</f>
        <v>0</v>
      </c>
      <c r="R79" s="113">
        <v>0</v>
      </c>
      <c r="S79" s="113">
        <v>0</v>
      </c>
      <c r="T79" s="113">
        <v>0</v>
      </c>
      <c r="U79" s="113">
        <v>0</v>
      </c>
      <c r="V79" s="113">
        <f>'13'!BF85</f>
        <v>0</v>
      </c>
      <c r="W79" s="113">
        <v>0</v>
      </c>
      <c r="X79" s="113">
        <v>0</v>
      </c>
      <c r="Y79" s="113">
        <v>0</v>
      </c>
      <c r="Z79" s="113">
        <v>0</v>
      </c>
      <c r="AA79" s="113">
        <f>'13'!BM85</f>
        <v>0</v>
      </c>
      <c r="AB79" s="113">
        <v>0</v>
      </c>
      <c r="AC79" s="113">
        <v>0</v>
      </c>
      <c r="AD79" s="113">
        <v>0</v>
      </c>
      <c r="AE79" s="113">
        <v>0</v>
      </c>
      <c r="AF79" s="113">
        <f>'13'!BT85</f>
        <v>1</v>
      </c>
      <c r="AG79" s="113">
        <v>0</v>
      </c>
      <c r="AH79" s="113">
        <v>0</v>
      </c>
    </row>
    <row r="80" spans="1:34" s="105" customFormat="1" ht="110.25">
      <c r="A80" s="229" t="s">
        <v>916</v>
      </c>
      <c r="B80" s="232" t="s">
        <v>1089</v>
      </c>
      <c r="C80" s="228" t="s">
        <v>924</v>
      </c>
      <c r="D80" s="163" t="s">
        <v>876</v>
      </c>
      <c r="E80" s="185">
        <v>0</v>
      </c>
      <c r="F80" s="185">
        <v>0</v>
      </c>
      <c r="G80" s="185">
        <f>'13'!I86</f>
        <v>1.7749999999999999</v>
      </c>
      <c r="H80" s="185">
        <v>0</v>
      </c>
      <c r="I80" s="185">
        <v>0</v>
      </c>
      <c r="J80" s="181">
        <f t="shared" si="1"/>
        <v>0</v>
      </c>
      <c r="K80" s="181">
        <f t="shared" si="2"/>
        <v>0</v>
      </c>
      <c r="L80" s="181">
        <f t="shared" si="3"/>
        <v>1.7749999999999999</v>
      </c>
      <c r="M80" s="181">
        <f t="shared" si="4"/>
        <v>0</v>
      </c>
      <c r="N80" s="181">
        <f t="shared" si="5"/>
        <v>0</v>
      </c>
      <c r="O80" s="113">
        <v>0</v>
      </c>
      <c r="P80" s="113">
        <v>0</v>
      </c>
      <c r="Q80" s="113">
        <f>'13'!AY86</f>
        <v>0</v>
      </c>
      <c r="R80" s="113">
        <v>0</v>
      </c>
      <c r="S80" s="113">
        <v>0</v>
      </c>
      <c r="T80" s="113">
        <v>0</v>
      </c>
      <c r="U80" s="113">
        <v>0</v>
      </c>
      <c r="V80" s="113">
        <f>'13'!BF86</f>
        <v>0</v>
      </c>
      <c r="W80" s="113">
        <v>0</v>
      </c>
      <c r="X80" s="113">
        <v>0</v>
      </c>
      <c r="Y80" s="113">
        <v>0</v>
      </c>
      <c r="Z80" s="113">
        <v>0</v>
      </c>
      <c r="AA80" s="113">
        <f>'13'!BM86</f>
        <v>0</v>
      </c>
      <c r="AB80" s="113">
        <v>0</v>
      </c>
      <c r="AC80" s="113">
        <v>0</v>
      </c>
      <c r="AD80" s="113">
        <v>0</v>
      </c>
      <c r="AE80" s="113">
        <v>0</v>
      </c>
      <c r="AF80" s="113">
        <f>'13'!BT86</f>
        <v>1.7749999999999999</v>
      </c>
      <c r="AG80" s="113">
        <v>0</v>
      </c>
      <c r="AH80" s="113">
        <v>0</v>
      </c>
    </row>
    <row r="81" spans="1:34" s="152" customFormat="1" ht="47.25">
      <c r="A81" s="229" t="s">
        <v>916</v>
      </c>
      <c r="B81" s="233" t="s">
        <v>1069</v>
      </c>
      <c r="C81" s="231" t="s">
        <v>1093</v>
      </c>
      <c r="D81" s="163" t="s">
        <v>876</v>
      </c>
      <c r="E81" s="185">
        <v>0</v>
      </c>
      <c r="F81" s="185">
        <v>0</v>
      </c>
      <c r="G81" s="185">
        <f>'13'!I87</f>
        <v>0</v>
      </c>
      <c r="H81" s="185">
        <v>0</v>
      </c>
      <c r="I81" s="185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13">
        <v>0</v>
      </c>
      <c r="P81" s="113">
        <v>0</v>
      </c>
      <c r="Q81" s="113">
        <f>'13'!AY87</f>
        <v>0</v>
      </c>
      <c r="R81" s="113">
        <v>0</v>
      </c>
      <c r="S81" s="113">
        <v>0</v>
      </c>
      <c r="T81" s="113">
        <v>0</v>
      </c>
      <c r="U81" s="113">
        <v>0</v>
      </c>
      <c r="V81" s="113">
        <f>'13'!BF87</f>
        <v>0</v>
      </c>
      <c r="W81" s="113">
        <v>0</v>
      </c>
      <c r="X81" s="113">
        <v>0</v>
      </c>
      <c r="Y81" s="113">
        <v>0</v>
      </c>
      <c r="Z81" s="113">
        <v>0</v>
      </c>
      <c r="AA81" s="113">
        <f>'13'!BM87</f>
        <v>0</v>
      </c>
      <c r="AB81" s="113">
        <v>0</v>
      </c>
      <c r="AC81" s="113">
        <v>0</v>
      </c>
      <c r="AD81" s="113">
        <v>0</v>
      </c>
      <c r="AE81" s="113">
        <v>0</v>
      </c>
      <c r="AF81" s="113">
        <f>'13'!BT87</f>
        <v>0</v>
      </c>
      <c r="AG81" s="113">
        <v>0</v>
      </c>
      <c r="AH81" s="113">
        <v>0</v>
      </c>
    </row>
    <row r="82" spans="1:34" s="105" customFormat="1" ht="63">
      <c r="A82" s="223" t="s">
        <v>925</v>
      </c>
      <c r="B82" s="224" t="s">
        <v>926</v>
      </c>
      <c r="C82" s="211" t="s">
        <v>876</v>
      </c>
      <c r="D82" s="163" t="s">
        <v>876</v>
      </c>
      <c r="E82" s="185">
        <v>0</v>
      </c>
      <c r="F82" s="185">
        <v>0</v>
      </c>
      <c r="G82" s="185">
        <v>0</v>
      </c>
      <c r="H82" s="185">
        <v>0</v>
      </c>
      <c r="I82" s="185">
        <v>0</v>
      </c>
      <c r="J82" s="181">
        <f t="shared" si="1"/>
        <v>0</v>
      </c>
      <c r="K82" s="181">
        <f t="shared" si="2"/>
        <v>0</v>
      </c>
      <c r="L82" s="181">
        <f t="shared" si="3"/>
        <v>0</v>
      </c>
      <c r="M82" s="181">
        <f t="shared" si="4"/>
        <v>0</v>
      </c>
      <c r="N82" s="181">
        <f t="shared" si="5"/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113">
        <v>0</v>
      </c>
      <c r="Y82" s="113">
        <v>0</v>
      </c>
      <c r="Z82" s="113">
        <v>0</v>
      </c>
      <c r="AA82" s="113">
        <f>'13'!BM87</f>
        <v>0</v>
      </c>
      <c r="AB82" s="113">
        <v>0</v>
      </c>
      <c r="AC82" s="113">
        <v>0</v>
      </c>
      <c r="AD82" s="113">
        <v>0</v>
      </c>
      <c r="AE82" s="113">
        <v>0</v>
      </c>
      <c r="AF82" s="113">
        <v>0</v>
      </c>
      <c r="AG82" s="113">
        <v>0</v>
      </c>
      <c r="AH82" s="113">
        <v>0</v>
      </c>
    </row>
    <row r="83" spans="1:34" s="105" customFormat="1" ht="47.25">
      <c r="A83" s="225" t="s">
        <v>842</v>
      </c>
      <c r="B83" s="224" t="s">
        <v>927</v>
      </c>
      <c r="C83" s="211" t="s">
        <v>876</v>
      </c>
      <c r="D83" s="163" t="s">
        <v>876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f t="shared" si="1"/>
        <v>0</v>
      </c>
      <c r="K83" s="181">
        <f t="shared" si="2"/>
        <v>0</v>
      </c>
      <c r="L83" s="181">
        <f t="shared" si="3"/>
        <v>0</v>
      </c>
      <c r="M83" s="181">
        <f t="shared" si="4"/>
        <v>0</v>
      </c>
      <c r="N83" s="181">
        <f t="shared" si="5"/>
        <v>0</v>
      </c>
      <c r="O83" s="113">
        <f t="shared" ref="O83:AH83" si="58">O84+O85+O86+O87+O88+O89+O90+O91</f>
        <v>0</v>
      </c>
      <c r="P83" s="113">
        <f t="shared" si="58"/>
        <v>0</v>
      </c>
      <c r="Q83" s="113">
        <f t="shared" si="58"/>
        <v>0</v>
      </c>
      <c r="R83" s="113">
        <f t="shared" si="58"/>
        <v>0</v>
      </c>
      <c r="S83" s="113">
        <f t="shared" si="58"/>
        <v>0</v>
      </c>
      <c r="T83" s="113">
        <f t="shared" si="58"/>
        <v>0</v>
      </c>
      <c r="U83" s="113">
        <f t="shared" si="58"/>
        <v>0</v>
      </c>
      <c r="V83" s="113">
        <f t="shared" si="58"/>
        <v>0</v>
      </c>
      <c r="W83" s="113">
        <f t="shared" si="58"/>
        <v>0</v>
      </c>
      <c r="X83" s="113">
        <f t="shared" si="58"/>
        <v>0</v>
      </c>
      <c r="Y83" s="113">
        <f t="shared" si="58"/>
        <v>0</v>
      </c>
      <c r="Z83" s="113">
        <f t="shared" si="58"/>
        <v>0</v>
      </c>
      <c r="AA83" s="113">
        <f>'13'!BM88</f>
        <v>0</v>
      </c>
      <c r="AB83" s="113">
        <f t="shared" si="58"/>
        <v>0</v>
      </c>
      <c r="AC83" s="113">
        <f t="shared" si="58"/>
        <v>0</v>
      </c>
      <c r="AD83" s="113">
        <f t="shared" si="58"/>
        <v>0</v>
      </c>
      <c r="AE83" s="113">
        <f t="shared" si="58"/>
        <v>0</v>
      </c>
      <c r="AF83" s="113">
        <f t="shared" si="58"/>
        <v>0</v>
      </c>
      <c r="AG83" s="113">
        <f t="shared" si="58"/>
        <v>0</v>
      </c>
      <c r="AH83" s="113">
        <f t="shared" si="58"/>
        <v>0</v>
      </c>
    </row>
    <row r="84" spans="1:34" s="105" customFormat="1" ht="47.25">
      <c r="A84" s="223" t="s">
        <v>436</v>
      </c>
      <c r="B84" s="224" t="s">
        <v>928</v>
      </c>
      <c r="C84" s="211" t="s">
        <v>876</v>
      </c>
      <c r="D84" s="163" t="s">
        <v>876</v>
      </c>
      <c r="E84" s="185">
        <v>0</v>
      </c>
      <c r="F84" s="185">
        <v>0</v>
      </c>
      <c r="G84" s="185">
        <v>0</v>
      </c>
      <c r="H84" s="185">
        <v>0</v>
      </c>
      <c r="I84" s="185">
        <v>0</v>
      </c>
      <c r="J84" s="181">
        <f t="shared" si="1"/>
        <v>0</v>
      </c>
      <c r="K84" s="181">
        <f t="shared" si="2"/>
        <v>0</v>
      </c>
      <c r="L84" s="181">
        <f t="shared" si="3"/>
        <v>0</v>
      </c>
      <c r="M84" s="181">
        <f t="shared" si="4"/>
        <v>0</v>
      </c>
      <c r="N84" s="181">
        <f t="shared" si="5"/>
        <v>0</v>
      </c>
      <c r="O84" s="113">
        <v>0</v>
      </c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0</v>
      </c>
      <c r="Y84" s="113">
        <v>0</v>
      </c>
      <c r="Z84" s="113">
        <v>0</v>
      </c>
      <c r="AA84" s="113">
        <f>'13'!BM89</f>
        <v>0</v>
      </c>
      <c r="AB84" s="113">
        <v>0</v>
      </c>
      <c r="AC84" s="113">
        <v>0</v>
      </c>
      <c r="AD84" s="113">
        <v>0</v>
      </c>
      <c r="AE84" s="113">
        <v>0</v>
      </c>
      <c r="AF84" s="113">
        <v>0</v>
      </c>
      <c r="AG84" s="113">
        <v>0</v>
      </c>
      <c r="AH84" s="113">
        <v>0</v>
      </c>
    </row>
    <row r="85" spans="1:34" s="105" customFormat="1" ht="47.25">
      <c r="A85" s="223" t="s">
        <v>440</v>
      </c>
      <c r="B85" s="224" t="s">
        <v>929</v>
      </c>
      <c r="C85" s="211" t="s">
        <v>876</v>
      </c>
      <c r="D85" s="163" t="s">
        <v>876</v>
      </c>
      <c r="E85" s="185">
        <v>0</v>
      </c>
      <c r="F85" s="185">
        <v>0</v>
      </c>
      <c r="G85" s="185">
        <v>0</v>
      </c>
      <c r="H85" s="185">
        <v>0</v>
      </c>
      <c r="I85" s="185">
        <v>0</v>
      </c>
      <c r="J85" s="181">
        <f t="shared" si="1"/>
        <v>0</v>
      </c>
      <c r="K85" s="181">
        <f t="shared" si="2"/>
        <v>0</v>
      </c>
      <c r="L85" s="181">
        <f t="shared" si="3"/>
        <v>0</v>
      </c>
      <c r="M85" s="181">
        <f t="shared" si="4"/>
        <v>0</v>
      </c>
      <c r="N85" s="181">
        <f t="shared" si="5"/>
        <v>0</v>
      </c>
      <c r="O85" s="113">
        <v>0</v>
      </c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0</v>
      </c>
      <c r="V85" s="113">
        <v>0</v>
      </c>
      <c r="W85" s="113">
        <v>0</v>
      </c>
      <c r="X85" s="113">
        <v>0</v>
      </c>
      <c r="Y85" s="113">
        <v>0</v>
      </c>
      <c r="Z85" s="113">
        <v>0</v>
      </c>
      <c r="AA85" s="113">
        <f>'13'!BM90</f>
        <v>0</v>
      </c>
      <c r="AB85" s="113">
        <v>0</v>
      </c>
      <c r="AC85" s="113">
        <v>0</v>
      </c>
      <c r="AD85" s="113">
        <v>0</v>
      </c>
      <c r="AE85" s="113">
        <v>0</v>
      </c>
      <c r="AF85" s="113">
        <v>0</v>
      </c>
      <c r="AG85" s="113">
        <v>0</v>
      </c>
      <c r="AH85" s="113">
        <v>0</v>
      </c>
    </row>
    <row r="86" spans="1:34" s="105" customFormat="1" ht="47.25">
      <c r="A86" s="223" t="s">
        <v>441</v>
      </c>
      <c r="B86" s="224" t="s">
        <v>930</v>
      </c>
      <c r="C86" s="211" t="s">
        <v>876</v>
      </c>
      <c r="D86" s="163" t="s">
        <v>876</v>
      </c>
      <c r="E86" s="185">
        <v>0</v>
      </c>
      <c r="F86" s="185">
        <v>0</v>
      </c>
      <c r="G86" s="185">
        <v>0</v>
      </c>
      <c r="H86" s="185">
        <v>0</v>
      </c>
      <c r="I86" s="185">
        <v>0</v>
      </c>
      <c r="J86" s="181">
        <f t="shared" si="1"/>
        <v>0</v>
      </c>
      <c r="K86" s="181">
        <f t="shared" si="2"/>
        <v>0</v>
      </c>
      <c r="L86" s="181">
        <f t="shared" si="3"/>
        <v>0</v>
      </c>
      <c r="M86" s="181">
        <f t="shared" si="4"/>
        <v>0</v>
      </c>
      <c r="N86" s="181">
        <f t="shared" si="5"/>
        <v>0</v>
      </c>
      <c r="O86" s="113">
        <v>0</v>
      </c>
      <c r="P86" s="113">
        <v>0</v>
      </c>
      <c r="Q86" s="113">
        <v>0</v>
      </c>
      <c r="R86" s="113">
        <v>0</v>
      </c>
      <c r="S86" s="113">
        <v>0</v>
      </c>
      <c r="T86" s="113">
        <v>0</v>
      </c>
      <c r="U86" s="113">
        <v>0</v>
      </c>
      <c r="V86" s="113">
        <v>0</v>
      </c>
      <c r="W86" s="113">
        <v>0</v>
      </c>
      <c r="X86" s="113">
        <v>0</v>
      </c>
      <c r="Y86" s="113">
        <v>0</v>
      </c>
      <c r="Z86" s="113">
        <v>0</v>
      </c>
      <c r="AA86" s="113">
        <f>'13'!BM91</f>
        <v>0</v>
      </c>
      <c r="AB86" s="113">
        <v>0</v>
      </c>
      <c r="AC86" s="113">
        <v>0</v>
      </c>
      <c r="AD86" s="113">
        <v>0</v>
      </c>
      <c r="AE86" s="113">
        <v>0</v>
      </c>
      <c r="AF86" s="113">
        <v>0</v>
      </c>
      <c r="AG86" s="113">
        <v>0</v>
      </c>
      <c r="AH86" s="113">
        <v>0</v>
      </c>
    </row>
    <row r="87" spans="1:34" s="105" customFormat="1" ht="47.25">
      <c r="A87" s="223" t="s">
        <v>442</v>
      </c>
      <c r="B87" s="224" t="s">
        <v>931</v>
      </c>
      <c r="C87" s="211" t="s">
        <v>876</v>
      </c>
      <c r="D87" s="163" t="s">
        <v>876</v>
      </c>
      <c r="E87" s="185">
        <v>0</v>
      </c>
      <c r="F87" s="185">
        <v>0</v>
      </c>
      <c r="G87" s="185">
        <v>0</v>
      </c>
      <c r="H87" s="185">
        <v>0</v>
      </c>
      <c r="I87" s="185">
        <v>0</v>
      </c>
      <c r="J87" s="181">
        <f t="shared" si="1"/>
        <v>0</v>
      </c>
      <c r="K87" s="181">
        <f t="shared" si="2"/>
        <v>0</v>
      </c>
      <c r="L87" s="181">
        <f t="shared" si="3"/>
        <v>0</v>
      </c>
      <c r="M87" s="181">
        <f t="shared" si="4"/>
        <v>0</v>
      </c>
      <c r="N87" s="181">
        <f t="shared" si="5"/>
        <v>0</v>
      </c>
      <c r="O87" s="113">
        <v>0</v>
      </c>
      <c r="P87" s="113">
        <v>0</v>
      </c>
      <c r="Q87" s="113">
        <v>0</v>
      </c>
      <c r="R87" s="113">
        <v>0</v>
      </c>
      <c r="S87" s="113">
        <v>0</v>
      </c>
      <c r="T87" s="113">
        <v>0</v>
      </c>
      <c r="U87" s="113">
        <v>0</v>
      </c>
      <c r="V87" s="113">
        <v>0</v>
      </c>
      <c r="W87" s="113">
        <v>0</v>
      </c>
      <c r="X87" s="113">
        <v>0</v>
      </c>
      <c r="Y87" s="113">
        <v>0</v>
      </c>
      <c r="Z87" s="113">
        <v>0</v>
      </c>
      <c r="AA87" s="113">
        <f>'13'!BM92</f>
        <v>0</v>
      </c>
      <c r="AB87" s="113">
        <v>0</v>
      </c>
      <c r="AC87" s="113">
        <v>0</v>
      </c>
      <c r="AD87" s="113">
        <v>0</v>
      </c>
      <c r="AE87" s="113">
        <v>0</v>
      </c>
      <c r="AF87" s="113">
        <v>0</v>
      </c>
      <c r="AG87" s="113">
        <v>0</v>
      </c>
      <c r="AH87" s="113">
        <v>0</v>
      </c>
    </row>
    <row r="88" spans="1:34" s="105" customFormat="1" ht="63">
      <c r="A88" s="223" t="s">
        <v>443</v>
      </c>
      <c r="B88" s="224" t="s">
        <v>932</v>
      </c>
      <c r="C88" s="211" t="s">
        <v>876</v>
      </c>
      <c r="D88" s="163" t="s">
        <v>876</v>
      </c>
      <c r="E88" s="185">
        <v>0</v>
      </c>
      <c r="F88" s="185">
        <v>0</v>
      </c>
      <c r="G88" s="185">
        <v>0</v>
      </c>
      <c r="H88" s="185">
        <v>0</v>
      </c>
      <c r="I88" s="185">
        <v>0</v>
      </c>
      <c r="J88" s="181">
        <f t="shared" si="1"/>
        <v>0</v>
      </c>
      <c r="K88" s="181">
        <f t="shared" si="2"/>
        <v>0</v>
      </c>
      <c r="L88" s="181">
        <f t="shared" si="3"/>
        <v>0</v>
      </c>
      <c r="M88" s="181">
        <f t="shared" si="4"/>
        <v>0</v>
      </c>
      <c r="N88" s="181">
        <f t="shared" si="5"/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f>'13'!BM93</f>
        <v>0</v>
      </c>
      <c r="AB88" s="113">
        <v>0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</row>
    <row r="89" spans="1:34" s="105" customFormat="1" ht="63">
      <c r="A89" s="223" t="s">
        <v>444</v>
      </c>
      <c r="B89" s="224" t="s">
        <v>933</v>
      </c>
      <c r="C89" s="211" t="s">
        <v>876</v>
      </c>
      <c r="D89" s="163" t="s">
        <v>876</v>
      </c>
      <c r="E89" s="185">
        <v>0</v>
      </c>
      <c r="F89" s="185">
        <v>0</v>
      </c>
      <c r="G89" s="185">
        <v>0</v>
      </c>
      <c r="H89" s="185">
        <v>0</v>
      </c>
      <c r="I89" s="185">
        <v>0</v>
      </c>
      <c r="J89" s="181">
        <f t="shared" si="1"/>
        <v>0</v>
      </c>
      <c r="K89" s="181">
        <f t="shared" si="2"/>
        <v>0</v>
      </c>
      <c r="L89" s="181">
        <f t="shared" si="3"/>
        <v>0</v>
      </c>
      <c r="M89" s="181">
        <f t="shared" si="4"/>
        <v>0</v>
      </c>
      <c r="N89" s="181">
        <f t="shared" si="5"/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f>'13'!BM94</f>
        <v>0</v>
      </c>
      <c r="AB89" s="113">
        <v>0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</row>
    <row r="90" spans="1:34" s="105" customFormat="1" ht="63">
      <c r="A90" s="223" t="s">
        <v>445</v>
      </c>
      <c r="B90" s="224" t="s">
        <v>934</v>
      </c>
      <c r="C90" s="211" t="s">
        <v>876</v>
      </c>
      <c r="D90" s="163" t="s">
        <v>876</v>
      </c>
      <c r="E90" s="185">
        <v>0</v>
      </c>
      <c r="F90" s="185">
        <v>0</v>
      </c>
      <c r="G90" s="185">
        <v>0</v>
      </c>
      <c r="H90" s="185">
        <v>0</v>
      </c>
      <c r="I90" s="185">
        <v>0</v>
      </c>
      <c r="J90" s="181">
        <f t="shared" si="1"/>
        <v>0</v>
      </c>
      <c r="K90" s="181">
        <f t="shared" si="2"/>
        <v>0</v>
      </c>
      <c r="L90" s="181">
        <f t="shared" si="3"/>
        <v>0</v>
      </c>
      <c r="M90" s="181">
        <f t="shared" si="4"/>
        <v>0</v>
      </c>
      <c r="N90" s="181">
        <f t="shared" si="5"/>
        <v>0</v>
      </c>
      <c r="O90" s="113">
        <v>0</v>
      </c>
      <c r="P90" s="113">
        <v>0</v>
      </c>
      <c r="Q90" s="113">
        <v>0</v>
      </c>
      <c r="R90" s="113">
        <v>0</v>
      </c>
      <c r="S90" s="113">
        <v>0</v>
      </c>
      <c r="T90" s="113">
        <v>0</v>
      </c>
      <c r="U90" s="113">
        <v>0</v>
      </c>
      <c r="V90" s="113">
        <v>0</v>
      </c>
      <c r="W90" s="113">
        <v>0</v>
      </c>
      <c r="X90" s="113">
        <v>0</v>
      </c>
      <c r="Y90" s="113">
        <v>0</v>
      </c>
      <c r="Z90" s="113">
        <v>0</v>
      </c>
      <c r="AA90" s="113">
        <f>'13'!BM95</f>
        <v>0</v>
      </c>
      <c r="AB90" s="113">
        <v>0</v>
      </c>
      <c r="AC90" s="113">
        <v>0</v>
      </c>
      <c r="AD90" s="113">
        <v>0</v>
      </c>
      <c r="AE90" s="113">
        <v>0</v>
      </c>
      <c r="AF90" s="113">
        <v>0</v>
      </c>
      <c r="AG90" s="113">
        <v>0</v>
      </c>
      <c r="AH90" s="113">
        <v>0</v>
      </c>
    </row>
    <row r="91" spans="1:34" s="105" customFormat="1" ht="63">
      <c r="A91" s="223" t="s">
        <v>935</v>
      </c>
      <c r="B91" s="224" t="s">
        <v>936</v>
      </c>
      <c r="C91" s="211" t="s">
        <v>876</v>
      </c>
      <c r="D91" s="163" t="s">
        <v>876</v>
      </c>
      <c r="E91" s="185">
        <v>0</v>
      </c>
      <c r="F91" s="185">
        <v>0</v>
      </c>
      <c r="G91" s="185">
        <v>0</v>
      </c>
      <c r="H91" s="185">
        <v>0</v>
      </c>
      <c r="I91" s="185">
        <v>0</v>
      </c>
      <c r="J91" s="181">
        <f t="shared" si="1"/>
        <v>0</v>
      </c>
      <c r="K91" s="181">
        <f t="shared" si="2"/>
        <v>0</v>
      </c>
      <c r="L91" s="181">
        <f t="shared" si="3"/>
        <v>0</v>
      </c>
      <c r="M91" s="181">
        <f t="shared" si="4"/>
        <v>0</v>
      </c>
      <c r="N91" s="181">
        <f t="shared" si="5"/>
        <v>0</v>
      </c>
      <c r="O91" s="113">
        <v>0</v>
      </c>
      <c r="P91" s="113">
        <v>0</v>
      </c>
      <c r="Q91" s="113">
        <v>0</v>
      </c>
      <c r="R91" s="113">
        <v>0</v>
      </c>
      <c r="S91" s="113">
        <v>0</v>
      </c>
      <c r="T91" s="113">
        <v>0</v>
      </c>
      <c r="U91" s="113">
        <v>0</v>
      </c>
      <c r="V91" s="113">
        <v>0</v>
      </c>
      <c r="W91" s="113">
        <v>0</v>
      </c>
      <c r="X91" s="113">
        <v>0</v>
      </c>
      <c r="Y91" s="113">
        <v>0</v>
      </c>
      <c r="Z91" s="113">
        <v>0</v>
      </c>
      <c r="AA91" s="113">
        <f>'13'!BM96</f>
        <v>0</v>
      </c>
      <c r="AB91" s="113">
        <v>0</v>
      </c>
      <c r="AC91" s="113">
        <v>0</v>
      </c>
      <c r="AD91" s="113">
        <v>0</v>
      </c>
      <c r="AE91" s="113">
        <v>0</v>
      </c>
      <c r="AF91" s="113">
        <v>0</v>
      </c>
      <c r="AG91" s="113">
        <v>0</v>
      </c>
      <c r="AH91" s="113">
        <v>0</v>
      </c>
    </row>
    <row r="92" spans="1:34" s="105" customFormat="1" ht="63">
      <c r="A92" s="225" t="s">
        <v>937</v>
      </c>
      <c r="B92" s="224" t="s">
        <v>938</v>
      </c>
      <c r="C92" s="211" t="s">
        <v>876</v>
      </c>
      <c r="D92" s="163" t="s">
        <v>876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f t="shared" si="1"/>
        <v>0</v>
      </c>
      <c r="K92" s="181">
        <f t="shared" si="2"/>
        <v>0</v>
      </c>
      <c r="L92" s="181">
        <f t="shared" si="3"/>
        <v>0</v>
      </c>
      <c r="M92" s="181">
        <f t="shared" si="4"/>
        <v>0</v>
      </c>
      <c r="N92" s="181">
        <f t="shared" si="5"/>
        <v>0</v>
      </c>
      <c r="O92" s="113">
        <f t="shared" ref="O92:AH92" si="59">O93+O94</f>
        <v>0</v>
      </c>
      <c r="P92" s="113">
        <f t="shared" si="59"/>
        <v>0</v>
      </c>
      <c r="Q92" s="113">
        <f t="shared" si="59"/>
        <v>0</v>
      </c>
      <c r="R92" s="113">
        <f t="shared" si="59"/>
        <v>0</v>
      </c>
      <c r="S92" s="113">
        <f t="shared" si="59"/>
        <v>0</v>
      </c>
      <c r="T92" s="113">
        <f t="shared" si="59"/>
        <v>0</v>
      </c>
      <c r="U92" s="113">
        <f t="shared" si="59"/>
        <v>0</v>
      </c>
      <c r="V92" s="113">
        <f t="shared" si="59"/>
        <v>0</v>
      </c>
      <c r="W92" s="113">
        <f t="shared" si="59"/>
        <v>0</v>
      </c>
      <c r="X92" s="113">
        <f t="shared" si="59"/>
        <v>0</v>
      </c>
      <c r="Y92" s="113">
        <f t="shared" si="59"/>
        <v>0</v>
      </c>
      <c r="Z92" s="113">
        <f t="shared" si="59"/>
        <v>0</v>
      </c>
      <c r="AA92" s="113">
        <f>'13'!BM97</f>
        <v>0</v>
      </c>
      <c r="AB92" s="113">
        <f t="shared" si="59"/>
        <v>0</v>
      </c>
      <c r="AC92" s="113">
        <f t="shared" si="59"/>
        <v>0</v>
      </c>
      <c r="AD92" s="113">
        <f t="shared" si="59"/>
        <v>0</v>
      </c>
      <c r="AE92" s="113">
        <f t="shared" si="59"/>
        <v>0</v>
      </c>
      <c r="AF92" s="113">
        <f t="shared" si="59"/>
        <v>0</v>
      </c>
      <c r="AG92" s="113">
        <f t="shared" si="59"/>
        <v>0</v>
      </c>
      <c r="AH92" s="113">
        <f t="shared" si="59"/>
        <v>0</v>
      </c>
    </row>
    <row r="93" spans="1:34" s="105" customFormat="1" ht="47.25">
      <c r="A93" s="223" t="s">
        <v>939</v>
      </c>
      <c r="B93" s="224" t="s">
        <v>940</v>
      </c>
      <c r="C93" s="222" t="s">
        <v>876</v>
      </c>
      <c r="D93" s="163" t="s">
        <v>876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f t="shared" si="1"/>
        <v>0</v>
      </c>
      <c r="K93" s="181">
        <f t="shared" si="2"/>
        <v>0</v>
      </c>
      <c r="L93" s="181">
        <f t="shared" si="3"/>
        <v>0</v>
      </c>
      <c r="M93" s="181">
        <f t="shared" si="4"/>
        <v>0</v>
      </c>
      <c r="N93" s="181">
        <f t="shared" si="5"/>
        <v>0</v>
      </c>
      <c r="O93" s="113">
        <v>0</v>
      </c>
      <c r="P93" s="113">
        <v>0</v>
      </c>
      <c r="Q93" s="113">
        <v>0</v>
      </c>
      <c r="R93" s="113">
        <v>0</v>
      </c>
      <c r="S93" s="113">
        <v>0</v>
      </c>
      <c r="T93" s="113">
        <v>0</v>
      </c>
      <c r="U93" s="113">
        <v>0</v>
      </c>
      <c r="V93" s="113">
        <v>0</v>
      </c>
      <c r="W93" s="113">
        <v>0</v>
      </c>
      <c r="X93" s="113">
        <v>0</v>
      </c>
      <c r="Y93" s="113">
        <v>0</v>
      </c>
      <c r="Z93" s="113">
        <v>0</v>
      </c>
      <c r="AA93" s="113">
        <f>'13'!BM98</f>
        <v>0</v>
      </c>
      <c r="AB93" s="113">
        <v>0</v>
      </c>
      <c r="AC93" s="113">
        <v>0</v>
      </c>
      <c r="AD93" s="113">
        <v>0</v>
      </c>
      <c r="AE93" s="113">
        <v>0</v>
      </c>
      <c r="AF93" s="113">
        <v>0</v>
      </c>
      <c r="AG93" s="113">
        <v>0</v>
      </c>
      <c r="AH93" s="113">
        <v>0</v>
      </c>
    </row>
    <row r="94" spans="1:34" s="105" customFormat="1" ht="63">
      <c r="A94" s="223" t="s">
        <v>941</v>
      </c>
      <c r="B94" s="224" t="s">
        <v>942</v>
      </c>
      <c r="C94" s="211" t="s">
        <v>876</v>
      </c>
      <c r="D94" s="163" t="s">
        <v>876</v>
      </c>
      <c r="E94" s="185">
        <v>0</v>
      </c>
      <c r="F94" s="185">
        <v>0</v>
      </c>
      <c r="G94" s="185">
        <v>0</v>
      </c>
      <c r="H94" s="185">
        <v>0</v>
      </c>
      <c r="I94" s="185">
        <v>0</v>
      </c>
      <c r="J94" s="181">
        <f t="shared" si="1"/>
        <v>0</v>
      </c>
      <c r="K94" s="181">
        <f t="shared" si="2"/>
        <v>0</v>
      </c>
      <c r="L94" s="181">
        <f t="shared" si="3"/>
        <v>0</v>
      </c>
      <c r="M94" s="181">
        <f t="shared" si="4"/>
        <v>0</v>
      </c>
      <c r="N94" s="181">
        <f t="shared" si="5"/>
        <v>0</v>
      </c>
      <c r="O94" s="113">
        <v>0</v>
      </c>
      <c r="P94" s="113">
        <v>0</v>
      </c>
      <c r="Q94" s="113">
        <v>0</v>
      </c>
      <c r="R94" s="113">
        <v>0</v>
      </c>
      <c r="S94" s="113">
        <v>0</v>
      </c>
      <c r="T94" s="113">
        <v>0</v>
      </c>
      <c r="U94" s="113">
        <v>0</v>
      </c>
      <c r="V94" s="113">
        <v>0</v>
      </c>
      <c r="W94" s="113">
        <v>0</v>
      </c>
      <c r="X94" s="113">
        <v>0</v>
      </c>
      <c r="Y94" s="113">
        <v>0</v>
      </c>
      <c r="Z94" s="113">
        <v>0</v>
      </c>
      <c r="AA94" s="113">
        <f>'13'!BM99</f>
        <v>0</v>
      </c>
      <c r="AB94" s="113">
        <v>0</v>
      </c>
      <c r="AC94" s="113">
        <v>0</v>
      </c>
      <c r="AD94" s="113">
        <v>0</v>
      </c>
      <c r="AE94" s="113">
        <v>0</v>
      </c>
      <c r="AF94" s="113">
        <v>0</v>
      </c>
      <c r="AG94" s="113">
        <v>0</v>
      </c>
      <c r="AH94" s="113">
        <v>0</v>
      </c>
    </row>
    <row r="95" spans="1:34" s="105" customFormat="1" ht="141.75">
      <c r="A95" s="225" t="s">
        <v>943</v>
      </c>
      <c r="B95" s="224" t="s">
        <v>944</v>
      </c>
      <c r="C95" s="211" t="s">
        <v>876</v>
      </c>
      <c r="D95" s="163" t="s">
        <v>876</v>
      </c>
      <c r="E95" s="191">
        <v>0</v>
      </c>
      <c r="F95" s="191">
        <v>0</v>
      </c>
      <c r="G95" s="191">
        <v>0</v>
      </c>
      <c r="H95" s="191">
        <v>0</v>
      </c>
      <c r="I95" s="191">
        <v>0</v>
      </c>
      <c r="J95" s="181">
        <f t="shared" ref="J95:J109" si="60">O95+T95+Y95+AD95</f>
        <v>0</v>
      </c>
      <c r="K95" s="181">
        <f t="shared" ref="K95:K109" si="61">P95+U95+Z95+AE95</f>
        <v>0</v>
      </c>
      <c r="L95" s="181">
        <f t="shared" ref="L95:L109" si="62">Q95+V95+AA95+AF95</f>
        <v>0</v>
      </c>
      <c r="M95" s="181">
        <f t="shared" ref="M95:M109" si="63">R95+W95+AB95+AG95</f>
        <v>0</v>
      </c>
      <c r="N95" s="181">
        <f t="shared" ref="N95:N109" si="64">S95+X95+AC95+AH95</f>
        <v>0</v>
      </c>
      <c r="O95" s="113">
        <f t="shared" ref="O95:AH95" si="65">O96+O97</f>
        <v>0</v>
      </c>
      <c r="P95" s="113">
        <f t="shared" si="65"/>
        <v>0</v>
      </c>
      <c r="Q95" s="113">
        <f t="shared" si="65"/>
        <v>0</v>
      </c>
      <c r="R95" s="113">
        <f t="shared" si="65"/>
        <v>0</v>
      </c>
      <c r="S95" s="113">
        <f t="shared" si="65"/>
        <v>0</v>
      </c>
      <c r="T95" s="113">
        <f t="shared" si="65"/>
        <v>0</v>
      </c>
      <c r="U95" s="113">
        <f t="shared" si="65"/>
        <v>0</v>
      </c>
      <c r="V95" s="113">
        <f t="shared" si="65"/>
        <v>0</v>
      </c>
      <c r="W95" s="113">
        <f t="shared" si="65"/>
        <v>0</v>
      </c>
      <c r="X95" s="113">
        <f t="shared" si="65"/>
        <v>0</v>
      </c>
      <c r="Y95" s="113">
        <f t="shared" si="65"/>
        <v>0</v>
      </c>
      <c r="Z95" s="113">
        <f t="shared" si="65"/>
        <v>0</v>
      </c>
      <c r="AA95" s="113">
        <f>'13'!BM100</f>
        <v>0</v>
      </c>
      <c r="AB95" s="113">
        <f t="shared" si="65"/>
        <v>0</v>
      </c>
      <c r="AC95" s="113">
        <f t="shared" si="65"/>
        <v>0</v>
      </c>
      <c r="AD95" s="113">
        <f t="shared" si="65"/>
        <v>0</v>
      </c>
      <c r="AE95" s="113">
        <f t="shared" si="65"/>
        <v>0</v>
      </c>
      <c r="AF95" s="113">
        <f t="shared" si="65"/>
        <v>0</v>
      </c>
      <c r="AG95" s="113">
        <f t="shared" si="65"/>
        <v>0</v>
      </c>
      <c r="AH95" s="113">
        <f t="shared" si="65"/>
        <v>0</v>
      </c>
    </row>
    <row r="96" spans="1:34" s="105" customFormat="1" ht="78.75">
      <c r="A96" s="225" t="s">
        <v>945</v>
      </c>
      <c r="B96" s="224" t="s">
        <v>946</v>
      </c>
      <c r="C96" s="211" t="s">
        <v>876</v>
      </c>
      <c r="D96" s="163" t="s">
        <v>876</v>
      </c>
      <c r="E96" s="191">
        <v>0</v>
      </c>
      <c r="F96" s="191">
        <v>0</v>
      </c>
      <c r="G96" s="191">
        <v>0</v>
      </c>
      <c r="H96" s="191">
        <v>0</v>
      </c>
      <c r="I96" s="191">
        <v>0</v>
      </c>
      <c r="J96" s="181">
        <f t="shared" si="60"/>
        <v>0</v>
      </c>
      <c r="K96" s="181">
        <f t="shared" si="61"/>
        <v>0</v>
      </c>
      <c r="L96" s="181">
        <f t="shared" si="62"/>
        <v>0</v>
      </c>
      <c r="M96" s="181">
        <f t="shared" si="63"/>
        <v>0</v>
      </c>
      <c r="N96" s="181">
        <f t="shared" si="64"/>
        <v>0</v>
      </c>
      <c r="O96" s="113">
        <v>0</v>
      </c>
      <c r="P96" s="113">
        <v>0</v>
      </c>
      <c r="Q96" s="113">
        <v>0</v>
      </c>
      <c r="R96" s="113">
        <v>0</v>
      </c>
      <c r="S96" s="113">
        <v>0</v>
      </c>
      <c r="T96" s="113">
        <v>0</v>
      </c>
      <c r="U96" s="113">
        <v>0</v>
      </c>
      <c r="V96" s="113">
        <v>0</v>
      </c>
      <c r="W96" s="113">
        <v>0</v>
      </c>
      <c r="X96" s="113">
        <v>0</v>
      </c>
      <c r="Y96" s="113">
        <v>0</v>
      </c>
      <c r="Z96" s="113">
        <v>0</v>
      </c>
      <c r="AA96" s="113">
        <f>'13'!BM101</f>
        <v>0</v>
      </c>
      <c r="AB96" s="113">
        <v>0</v>
      </c>
      <c r="AC96" s="113">
        <v>0</v>
      </c>
      <c r="AD96" s="113">
        <v>0</v>
      </c>
      <c r="AE96" s="113">
        <v>0</v>
      </c>
      <c r="AF96" s="113">
        <v>0</v>
      </c>
      <c r="AG96" s="113">
        <v>0</v>
      </c>
      <c r="AH96" s="113">
        <v>0</v>
      </c>
    </row>
    <row r="97" spans="1:34" s="105" customFormat="1" ht="78.75">
      <c r="A97" s="225" t="s">
        <v>947</v>
      </c>
      <c r="B97" s="224" t="s">
        <v>948</v>
      </c>
      <c r="C97" s="211" t="s">
        <v>876</v>
      </c>
      <c r="D97" s="163" t="s">
        <v>876</v>
      </c>
      <c r="E97" s="191">
        <v>0</v>
      </c>
      <c r="F97" s="191">
        <v>0</v>
      </c>
      <c r="G97" s="191">
        <v>0</v>
      </c>
      <c r="H97" s="191">
        <v>0</v>
      </c>
      <c r="I97" s="191">
        <v>0</v>
      </c>
      <c r="J97" s="181">
        <f t="shared" si="60"/>
        <v>0</v>
      </c>
      <c r="K97" s="181">
        <f t="shared" si="61"/>
        <v>0</v>
      </c>
      <c r="L97" s="181">
        <f t="shared" si="62"/>
        <v>0</v>
      </c>
      <c r="M97" s="181">
        <f t="shared" si="63"/>
        <v>0</v>
      </c>
      <c r="N97" s="181">
        <f t="shared" si="64"/>
        <v>0</v>
      </c>
      <c r="O97" s="113">
        <v>0</v>
      </c>
      <c r="P97" s="113">
        <v>0</v>
      </c>
      <c r="Q97" s="113">
        <v>0</v>
      </c>
      <c r="R97" s="113">
        <v>0</v>
      </c>
      <c r="S97" s="113">
        <v>0</v>
      </c>
      <c r="T97" s="113">
        <v>0</v>
      </c>
      <c r="U97" s="113">
        <v>0</v>
      </c>
      <c r="V97" s="113">
        <v>0</v>
      </c>
      <c r="W97" s="113">
        <v>0</v>
      </c>
      <c r="X97" s="113">
        <v>0</v>
      </c>
      <c r="Y97" s="113">
        <v>0</v>
      </c>
      <c r="Z97" s="113">
        <v>0</v>
      </c>
      <c r="AA97" s="113">
        <f>'13'!BM102</f>
        <v>0</v>
      </c>
      <c r="AB97" s="113">
        <v>0</v>
      </c>
      <c r="AC97" s="113">
        <v>0</v>
      </c>
      <c r="AD97" s="113">
        <v>0</v>
      </c>
      <c r="AE97" s="113">
        <v>0</v>
      </c>
      <c r="AF97" s="113">
        <v>0</v>
      </c>
      <c r="AG97" s="113">
        <v>0</v>
      </c>
      <c r="AH97" s="113">
        <v>0</v>
      </c>
    </row>
    <row r="98" spans="1:34" s="105" customFormat="1" ht="47.25">
      <c r="A98" s="225" t="s">
        <v>949</v>
      </c>
      <c r="B98" s="224" t="s">
        <v>884</v>
      </c>
      <c r="C98" s="222" t="s">
        <v>876</v>
      </c>
      <c r="D98" s="163" t="s">
        <v>876</v>
      </c>
      <c r="E98" s="183">
        <v>0</v>
      </c>
      <c r="F98" s="183">
        <v>0</v>
      </c>
      <c r="G98" s="183">
        <v>0</v>
      </c>
      <c r="H98" s="183">
        <v>0</v>
      </c>
      <c r="I98" s="183">
        <v>0</v>
      </c>
      <c r="J98" s="181">
        <f t="shared" si="60"/>
        <v>0</v>
      </c>
      <c r="K98" s="181">
        <f t="shared" si="61"/>
        <v>0</v>
      </c>
      <c r="L98" s="181">
        <f t="shared" si="62"/>
        <v>0</v>
      </c>
      <c r="M98" s="181">
        <f t="shared" si="63"/>
        <v>0</v>
      </c>
      <c r="N98" s="181">
        <f t="shared" si="64"/>
        <v>0</v>
      </c>
      <c r="O98" s="113">
        <v>0</v>
      </c>
      <c r="P98" s="113">
        <v>0</v>
      </c>
      <c r="Q98" s="113">
        <v>0</v>
      </c>
      <c r="R98" s="113">
        <v>0</v>
      </c>
      <c r="S98" s="113">
        <v>0</v>
      </c>
      <c r="T98" s="113">
        <v>0</v>
      </c>
      <c r="U98" s="113">
        <v>0</v>
      </c>
      <c r="V98" s="113">
        <v>0</v>
      </c>
      <c r="W98" s="113">
        <v>0</v>
      </c>
      <c r="X98" s="113">
        <v>0</v>
      </c>
      <c r="Y98" s="113">
        <v>0</v>
      </c>
      <c r="Z98" s="113">
        <v>0</v>
      </c>
      <c r="AA98" s="113">
        <f>'13'!BM103</f>
        <v>0</v>
      </c>
      <c r="AB98" s="113">
        <v>0</v>
      </c>
      <c r="AC98" s="113">
        <v>0</v>
      </c>
      <c r="AD98" s="113">
        <v>0</v>
      </c>
      <c r="AE98" s="113">
        <v>0</v>
      </c>
      <c r="AF98" s="113">
        <v>0</v>
      </c>
      <c r="AG98" s="113">
        <v>0</v>
      </c>
      <c r="AH98" s="113">
        <v>0</v>
      </c>
    </row>
    <row r="99" spans="1:34" s="152" customFormat="1" ht="63">
      <c r="A99" s="234" t="s">
        <v>843</v>
      </c>
      <c r="B99" s="209" t="s">
        <v>1072</v>
      </c>
      <c r="C99" s="235" t="s">
        <v>1088</v>
      </c>
      <c r="D99" s="163" t="s">
        <v>876</v>
      </c>
      <c r="E99" s="183">
        <v>0</v>
      </c>
      <c r="F99" s="183">
        <v>0</v>
      </c>
      <c r="G99" s="183">
        <v>0</v>
      </c>
      <c r="H99" s="183">
        <v>0</v>
      </c>
      <c r="I99" s="183">
        <v>0</v>
      </c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113">
        <v>0</v>
      </c>
      <c r="P99" s="113">
        <v>0</v>
      </c>
      <c r="Q99" s="113">
        <v>0</v>
      </c>
      <c r="R99" s="113">
        <v>0</v>
      </c>
      <c r="S99" s="113">
        <v>0</v>
      </c>
      <c r="T99" s="113">
        <v>0</v>
      </c>
      <c r="U99" s="113">
        <v>0</v>
      </c>
      <c r="V99" s="113">
        <v>0</v>
      </c>
      <c r="W99" s="113">
        <v>0</v>
      </c>
      <c r="X99" s="113">
        <v>0</v>
      </c>
      <c r="Y99" s="113">
        <v>0</v>
      </c>
      <c r="Z99" s="113">
        <v>0</v>
      </c>
      <c r="AA99" s="113">
        <f>'13'!BM104</f>
        <v>0</v>
      </c>
      <c r="AB99" s="113">
        <v>0</v>
      </c>
      <c r="AC99" s="113">
        <v>0</v>
      </c>
      <c r="AD99" s="113">
        <v>0</v>
      </c>
      <c r="AE99" s="113">
        <v>0</v>
      </c>
      <c r="AF99" s="113">
        <v>0</v>
      </c>
      <c r="AG99" s="113">
        <v>0</v>
      </c>
      <c r="AH99" s="113">
        <v>0</v>
      </c>
    </row>
    <row r="100" spans="1:34" s="152" customFormat="1" ht="63">
      <c r="A100" s="234" t="s">
        <v>844</v>
      </c>
      <c r="B100" s="209" t="s">
        <v>1073</v>
      </c>
      <c r="C100" s="235" t="s">
        <v>1087</v>
      </c>
      <c r="D100" s="163" t="s">
        <v>876</v>
      </c>
      <c r="E100" s="183">
        <v>0</v>
      </c>
      <c r="F100" s="183">
        <v>0</v>
      </c>
      <c r="G100" s="183">
        <v>0</v>
      </c>
      <c r="H100" s="183">
        <v>0</v>
      </c>
      <c r="I100" s="183">
        <v>0</v>
      </c>
      <c r="J100" s="181">
        <v>0</v>
      </c>
      <c r="K100" s="181">
        <v>0</v>
      </c>
      <c r="L100" s="181">
        <v>0</v>
      </c>
      <c r="M100" s="181">
        <v>0</v>
      </c>
      <c r="N100" s="181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113">
        <v>0</v>
      </c>
      <c r="U100" s="113">
        <v>0</v>
      </c>
      <c r="V100" s="113">
        <v>0</v>
      </c>
      <c r="W100" s="113">
        <v>0</v>
      </c>
      <c r="X100" s="113">
        <v>0</v>
      </c>
      <c r="Y100" s="113">
        <v>0</v>
      </c>
      <c r="Z100" s="113">
        <v>0</v>
      </c>
      <c r="AA100" s="113">
        <f>'13'!BM105</f>
        <v>0</v>
      </c>
      <c r="AB100" s="113">
        <v>0</v>
      </c>
      <c r="AC100" s="113">
        <v>0</v>
      </c>
      <c r="AD100" s="113">
        <v>0</v>
      </c>
      <c r="AE100" s="113">
        <v>0</v>
      </c>
      <c r="AF100" s="113">
        <v>0</v>
      </c>
      <c r="AG100" s="113">
        <v>0</v>
      </c>
      <c r="AH100" s="113">
        <v>0</v>
      </c>
    </row>
    <row r="101" spans="1:34" s="105" customFormat="1" ht="63">
      <c r="A101" s="225" t="s">
        <v>950</v>
      </c>
      <c r="B101" s="224" t="s">
        <v>951</v>
      </c>
      <c r="C101" s="211" t="s">
        <v>876</v>
      </c>
      <c r="D101" s="163" t="s">
        <v>876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81">
        <f t="shared" si="60"/>
        <v>0</v>
      </c>
      <c r="K101" s="181">
        <f t="shared" si="61"/>
        <v>0</v>
      </c>
      <c r="L101" s="181">
        <f t="shared" si="62"/>
        <v>0</v>
      </c>
      <c r="M101" s="181">
        <f t="shared" si="63"/>
        <v>0</v>
      </c>
      <c r="N101" s="181">
        <f t="shared" si="64"/>
        <v>0</v>
      </c>
      <c r="O101" s="113">
        <v>0</v>
      </c>
      <c r="P101" s="113">
        <v>0</v>
      </c>
      <c r="Q101" s="113">
        <v>0</v>
      </c>
      <c r="R101" s="113">
        <v>0</v>
      </c>
      <c r="S101" s="113">
        <v>0</v>
      </c>
      <c r="T101" s="113">
        <v>0</v>
      </c>
      <c r="U101" s="113">
        <v>0</v>
      </c>
      <c r="V101" s="113">
        <v>0</v>
      </c>
      <c r="W101" s="113">
        <v>0</v>
      </c>
      <c r="X101" s="113">
        <v>0</v>
      </c>
      <c r="Y101" s="113">
        <v>0</v>
      </c>
      <c r="Z101" s="113">
        <v>0</v>
      </c>
      <c r="AA101" s="113">
        <f>'13'!BM106</f>
        <v>0</v>
      </c>
      <c r="AB101" s="113">
        <v>0</v>
      </c>
      <c r="AC101" s="113">
        <v>0</v>
      </c>
      <c r="AD101" s="113">
        <v>0</v>
      </c>
      <c r="AE101" s="113">
        <v>0</v>
      </c>
      <c r="AF101" s="113">
        <v>0</v>
      </c>
      <c r="AG101" s="113">
        <v>0</v>
      </c>
      <c r="AH101" s="113">
        <v>0</v>
      </c>
    </row>
    <row r="102" spans="1:34" s="105" customFormat="1" ht="31.5">
      <c r="A102" s="225" t="s">
        <v>952</v>
      </c>
      <c r="B102" s="224" t="s">
        <v>953</v>
      </c>
      <c r="C102" s="211" t="s">
        <v>876</v>
      </c>
      <c r="D102" s="163" t="s">
        <v>876</v>
      </c>
      <c r="E102" s="183">
        <v>0</v>
      </c>
      <c r="F102" s="183">
        <v>0</v>
      </c>
      <c r="G102" s="183">
        <v>0</v>
      </c>
      <c r="H102" s="183">
        <v>0</v>
      </c>
      <c r="I102" s="183">
        <v>0</v>
      </c>
      <c r="J102" s="181">
        <f t="shared" si="60"/>
        <v>0</v>
      </c>
      <c r="K102" s="181">
        <f t="shared" si="61"/>
        <v>0</v>
      </c>
      <c r="L102" s="181">
        <f t="shared" si="62"/>
        <v>0</v>
      </c>
      <c r="M102" s="181">
        <f t="shared" si="63"/>
        <v>0</v>
      </c>
      <c r="N102" s="181">
        <f t="shared" si="64"/>
        <v>0</v>
      </c>
      <c r="O102" s="113">
        <f t="shared" ref="O102:AH102" si="66">O103</f>
        <v>0</v>
      </c>
      <c r="P102" s="113">
        <f t="shared" si="66"/>
        <v>0</v>
      </c>
      <c r="Q102" s="113">
        <f t="shared" si="66"/>
        <v>0</v>
      </c>
      <c r="R102" s="113">
        <f t="shared" si="66"/>
        <v>0</v>
      </c>
      <c r="S102" s="113">
        <f t="shared" si="66"/>
        <v>0</v>
      </c>
      <c r="T102" s="113">
        <f t="shared" si="66"/>
        <v>0</v>
      </c>
      <c r="U102" s="113">
        <f t="shared" si="66"/>
        <v>0</v>
      </c>
      <c r="V102" s="113">
        <f t="shared" si="66"/>
        <v>0</v>
      </c>
      <c r="W102" s="113">
        <f t="shared" si="66"/>
        <v>0</v>
      </c>
      <c r="X102" s="113">
        <f t="shared" si="66"/>
        <v>0</v>
      </c>
      <c r="Y102" s="113">
        <f t="shared" si="66"/>
        <v>0</v>
      </c>
      <c r="Z102" s="113">
        <f t="shared" si="66"/>
        <v>0</v>
      </c>
      <c r="AA102" s="113">
        <f>'13'!BM107</f>
        <v>0</v>
      </c>
      <c r="AB102" s="113">
        <f t="shared" si="66"/>
        <v>0</v>
      </c>
      <c r="AC102" s="113">
        <f t="shared" si="66"/>
        <v>0</v>
      </c>
      <c r="AD102" s="113">
        <f t="shared" si="66"/>
        <v>0</v>
      </c>
      <c r="AE102" s="113">
        <f t="shared" si="66"/>
        <v>0</v>
      </c>
      <c r="AF102" s="113">
        <f t="shared" si="66"/>
        <v>0</v>
      </c>
      <c r="AG102" s="113">
        <f t="shared" si="66"/>
        <v>0</v>
      </c>
      <c r="AH102" s="113">
        <f t="shared" si="66"/>
        <v>0</v>
      </c>
    </row>
    <row r="103" spans="1:34" s="105" customFormat="1">
      <c r="A103" s="225" t="s">
        <v>952</v>
      </c>
      <c r="B103" s="224" t="s">
        <v>954</v>
      </c>
      <c r="C103" s="211" t="s">
        <v>876</v>
      </c>
      <c r="D103" s="163" t="s">
        <v>876</v>
      </c>
      <c r="E103" s="185">
        <v>0</v>
      </c>
      <c r="F103" s="185">
        <v>0</v>
      </c>
      <c r="G103" s="185">
        <v>0</v>
      </c>
      <c r="H103" s="185">
        <v>0</v>
      </c>
      <c r="I103" s="185">
        <v>0</v>
      </c>
      <c r="J103" s="181">
        <f t="shared" si="60"/>
        <v>0</v>
      </c>
      <c r="K103" s="181">
        <f t="shared" si="61"/>
        <v>0</v>
      </c>
      <c r="L103" s="181">
        <f t="shared" si="62"/>
        <v>0</v>
      </c>
      <c r="M103" s="181">
        <f t="shared" si="63"/>
        <v>0</v>
      </c>
      <c r="N103" s="181">
        <f t="shared" si="64"/>
        <v>0</v>
      </c>
      <c r="O103" s="113">
        <f t="shared" ref="O103:AH103" si="67">O104+O105</f>
        <v>0</v>
      </c>
      <c r="P103" s="113">
        <f t="shared" si="67"/>
        <v>0</v>
      </c>
      <c r="Q103" s="113">
        <f t="shared" si="67"/>
        <v>0</v>
      </c>
      <c r="R103" s="113">
        <f t="shared" si="67"/>
        <v>0</v>
      </c>
      <c r="S103" s="113">
        <f t="shared" si="67"/>
        <v>0</v>
      </c>
      <c r="T103" s="113">
        <f t="shared" si="67"/>
        <v>0</v>
      </c>
      <c r="U103" s="113">
        <f t="shared" si="67"/>
        <v>0</v>
      </c>
      <c r="V103" s="113">
        <f t="shared" si="67"/>
        <v>0</v>
      </c>
      <c r="W103" s="113">
        <f t="shared" si="67"/>
        <v>0</v>
      </c>
      <c r="X103" s="113">
        <f t="shared" si="67"/>
        <v>0</v>
      </c>
      <c r="Y103" s="113">
        <f t="shared" si="67"/>
        <v>0</v>
      </c>
      <c r="Z103" s="113">
        <f t="shared" si="67"/>
        <v>0</v>
      </c>
      <c r="AA103" s="113">
        <f>'13'!BM108</f>
        <v>0</v>
      </c>
      <c r="AB103" s="113">
        <f t="shared" si="67"/>
        <v>0</v>
      </c>
      <c r="AC103" s="113">
        <f t="shared" si="67"/>
        <v>0</v>
      </c>
      <c r="AD103" s="113">
        <f t="shared" si="67"/>
        <v>0</v>
      </c>
      <c r="AE103" s="113">
        <f t="shared" si="67"/>
        <v>0</v>
      </c>
      <c r="AF103" s="113">
        <f t="shared" si="67"/>
        <v>0</v>
      </c>
      <c r="AG103" s="113">
        <f t="shared" si="67"/>
        <v>0</v>
      </c>
      <c r="AH103" s="113">
        <f t="shared" si="67"/>
        <v>0</v>
      </c>
    </row>
    <row r="104" spans="1:34" s="105" customFormat="1" ht="63">
      <c r="A104" s="225" t="s">
        <v>955</v>
      </c>
      <c r="B104" s="227" t="s">
        <v>956</v>
      </c>
      <c r="C104" s="228" t="s">
        <v>957</v>
      </c>
      <c r="D104" s="163" t="s">
        <v>876</v>
      </c>
      <c r="E104" s="185">
        <v>0</v>
      </c>
      <c r="F104" s="185">
        <v>0</v>
      </c>
      <c r="G104" s="185">
        <v>0</v>
      </c>
      <c r="H104" s="185">
        <v>0</v>
      </c>
      <c r="I104" s="185">
        <v>0</v>
      </c>
      <c r="J104" s="181">
        <f t="shared" si="60"/>
        <v>0</v>
      </c>
      <c r="K104" s="181">
        <f t="shared" si="61"/>
        <v>0</v>
      </c>
      <c r="L104" s="181">
        <f t="shared" si="62"/>
        <v>0</v>
      </c>
      <c r="M104" s="181">
        <f t="shared" si="63"/>
        <v>0</v>
      </c>
      <c r="N104" s="181">
        <f t="shared" si="64"/>
        <v>0</v>
      </c>
      <c r="O104" s="113">
        <v>0</v>
      </c>
      <c r="P104" s="113">
        <v>0</v>
      </c>
      <c r="Q104" s="113">
        <v>0</v>
      </c>
      <c r="R104" s="113">
        <v>0</v>
      </c>
      <c r="S104" s="113">
        <v>0</v>
      </c>
      <c r="T104" s="113">
        <v>0</v>
      </c>
      <c r="U104" s="113">
        <v>0</v>
      </c>
      <c r="V104" s="113">
        <v>0</v>
      </c>
      <c r="W104" s="113">
        <v>0</v>
      </c>
      <c r="X104" s="113">
        <v>0</v>
      </c>
      <c r="Y104" s="113">
        <v>0</v>
      </c>
      <c r="Z104" s="113">
        <v>0</v>
      </c>
      <c r="AA104" s="113">
        <f>'13'!BM109</f>
        <v>0</v>
      </c>
      <c r="AB104" s="113">
        <v>0</v>
      </c>
      <c r="AC104" s="113">
        <v>0</v>
      </c>
      <c r="AD104" s="113">
        <v>0</v>
      </c>
      <c r="AE104" s="113">
        <v>0</v>
      </c>
      <c r="AF104" s="113">
        <v>0</v>
      </c>
      <c r="AG104" s="113">
        <v>0</v>
      </c>
      <c r="AH104" s="113">
        <v>0</v>
      </c>
    </row>
    <row r="105" spans="1:34" s="105" customFormat="1" ht="47.25">
      <c r="A105" s="225" t="s">
        <v>958</v>
      </c>
      <c r="B105" s="227" t="s">
        <v>959</v>
      </c>
      <c r="C105" s="228" t="s">
        <v>876</v>
      </c>
      <c r="D105" s="163" t="s">
        <v>876</v>
      </c>
      <c r="E105" s="185">
        <v>0</v>
      </c>
      <c r="F105" s="185">
        <v>0</v>
      </c>
      <c r="G105" s="185">
        <v>0</v>
      </c>
      <c r="H105" s="185">
        <v>0</v>
      </c>
      <c r="I105" s="185">
        <v>0</v>
      </c>
      <c r="J105" s="181">
        <f t="shared" si="60"/>
        <v>0</v>
      </c>
      <c r="K105" s="181">
        <f t="shared" si="61"/>
        <v>0</v>
      </c>
      <c r="L105" s="181">
        <f t="shared" si="62"/>
        <v>0</v>
      </c>
      <c r="M105" s="181">
        <f t="shared" si="63"/>
        <v>0</v>
      </c>
      <c r="N105" s="181">
        <f t="shared" si="64"/>
        <v>0</v>
      </c>
      <c r="O105" s="113">
        <f t="shared" ref="O105:AH105" si="68">O106+O107+O108+O109</f>
        <v>0</v>
      </c>
      <c r="P105" s="113">
        <f t="shared" si="68"/>
        <v>0</v>
      </c>
      <c r="Q105" s="113">
        <f t="shared" si="68"/>
        <v>0</v>
      </c>
      <c r="R105" s="113">
        <f t="shared" si="68"/>
        <v>0</v>
      </c>
      <c r="S105" s="113">
        <f t="shared" si="68"/>
        <v>0</v>
      </c>
      <c r="T105" s="113">
        <f t="shared" si="68"/>
        <v>0</v>
      </c>
      <c r="U105" s="113">
        <f t="shared" si="68"/>
        <v>0</v>
      </c>
      <c r="V105" s="113">
        <f t="shared" si="68"/>
        <v>0</v>
      </c>
      <c r="W105" s="113">
        <f t="shared" si="68"/>
        <v>0</v>
      </c>
      <c r="X105" s="113">
        <f t="shared" si="68"/>
        <v>0</v>
      </c>
      <c r="Y105" s="113">
        <f t="shared" si="68"/>
        <v>0</v>
      </c>
      <c r="Z105" s="113">
        <f t="shared" si="68"/>
        <v>0</v>
      </c>
      <c r="AA105" s="113">
        <f>'13'!BM110</f>
        <v>0</v>
      </c>
      <c r="AB105" s="113">
        <f t="shared" si="68"/>
        <v>0</v>
      </c>
      <c r="AC105" s="113">
        <f t="shared" si="68"/>
        <v>0</v>
      </c>
      <c r="AD105" s="113">
        <f t="shared" si="68"/>
        <v>0</v>
      </c>
      <c r="AE105" s="113">
        <f t="shared" si="68"/>
        <v>0</v>
      </c>
      <c r="AF105" s="113">
        <f t="shared" si="68"/>
        <v>0</v>
      </c>
      <c r="AG105" s="113">
        <f t="shared" si="68"/>
        <v>0</v>
      </c>
      <c r="AH105" s="113">
        <f t="shared" si="68"/>
        <v>0</v>
      </c>
    </row>
    <row r="106" spans="1:34" s="105" customFormat="1" ht="47.25">
      <c r="A106" s="225" t="s">
        <v>960</v>
      </c>
      <c r="B106" s="227" t="s">
        <v>961</v>
      </c>
      <c r="C106" s="228" t="s">
        <v>962</v>
      </c>
      <c r="D106" s="163" t="s">
        <v>876</v>
      </c>
      <c r="E106" s="185">
        <v>0</v>
      </c>
      <c r="F106" s="185">
        <v>0</v>
      </c>
      <c r="G106" s="185">
        <v>0</v>
      </c>
      <c r="H106" s="185">
        <v>0</v>
      </c>
      <c r="I106" s="185">
        <v>0</v>
      </c>
      <c r="J106" s="181">
        <f t="shared" si="60"/>
        <v>0</v>
      </c>
      <c r="K106" s="181">
        <f t="shared" si="61"/>
        <v>0</v>
      </c>
      <c r="L106" s="181">
        <f t="shared" si="62"/>
        <v>0</v>
      </c>
      <c r="M106" s="181">
        <f t="shared" si="63"/>
        <v>0</v>
      </c>
      <c r="N106" s="181">
        <f t="shared" si="64"/>
        <v>0</v>
      </c>
      <c r="O106" s="113">
        <v>0</v>
      </c>
      <c r="P106" s="113">
        <v>0</v>
      </c>
      <c r="Q106" s="113">
        <v>0</v>
      </c>
      <c r="R106" s="113">
        <v>0</v>
      </c>
      <c r="S106" s="113">
        <v>0</v>
      </c>
      <c r="T106" s="113">
        <v>0</v>
      </c>
      <c r="U106" s="113">
        <v>0</v>
      </c>
      <c r="V106" s="113">
        <v>0</v>
      </c>
      <c r="W106" s="113">
        <v>0</v>
      </c>
      <c r="X106" s="113">
        <v>0</v>
      </c>
      <c r="Y106" s="113">
        <v>0</v>
      </c>
      <c r="Z106" s="113">
        <v>0</v>
      </c>
      <c r="AA106" s="113">
        <f>'13'!BM111</f>
        <v>0</v>
      </c>
      <c r="AB106" s="113">
        <v>0</v>
      </c>
      <c r="AC106" s="113">
        <v>0</v>
      </c>
      <c r="AD106" s="113">
        <v>0</v>
      </c>
      <c r="AE106" s="113">
        <v>0</v>
      </c>
      <c r="AF106" s="113">
        <v>0</v>
      </c>
      <c r="AG106" s="113">
        <v>0</v>
      </c>
      <c r="AH106" s="113">
        <v>0</v>
      </c>
    </row>
    <row r="107" spans="1:34" s="105" customFormat="1" ht="47.25">
      <c r="A107" s="225" t="s">
        <v>963</v>
      </c>
      <c r="B107" s="227" t="s">
        <v>964</v>
      </c>
      <c r="C107" s="228" t="s">
        <v>965</v>
      </c>
      <c r="D107" s="163" t="s">
        <v>876</v>
      </c>
      <c r="E107" s="185">
        <v>0</v>
      </c>
      <c r="F107" s="185">
        <v>0</v>
      </c>
      <c r="G107" s="185">
        <v>0</v>
      </c>
      <c r="H107" s="185">
        <v>0</v>
      </c>
      <c r="I107" s="185">
        <v>0</v>
      </c>
      <c r="J107" s="181">
        <f t="shared" si="60"/>
        <v>0</v>
      </c>
      <c r="K107" s="181">
        <f t="shared" si="61"/>
        <v>0</v>
      </c>
      <c r="L107" s="181">
        <f t="shared" si="62"/>
        <v>0</v>
      </c>
      <c r="M107" s="181">
        <f t="shared" si="63"/>
        <v>0</v>
      </c>
      <c r="N107" s="181">
        <f t="shared" si="64"/>
        <v>0</v>
      </c>
      <c r="O107" s="113">
        <v>0</v>
      </c>
      <c r="P107" s="113">
        <v>0</v>
      </c>
      <c r="Q107" s="113">
        <v>0</v>
      </c>
      <c r="R107" s="113">
        <v>0</v>
      </c>
      <c r="S107" s="113">
        <v>0</v>
      </c>
      <c r="T107" s="113">
        <v>0</v>
      </c>
      <c r="U107" s="113">
        <v>0</v>
      </c>
      <c r="V107" s="113">
        <v>0</v>
      </c>
      <c r="W107" s="113">
        <v>0</v>
      </c>
      <c r="X107" s="113">
        <v>0</v>
      </c>
      <c r="Y107" s="113">
        <v>0</v>
      </c>
      <c r="Z107" s="113">
        <v>0</v>
      </c>
      <c r="AA107" s="113">
        <f>'13'!BM112</f>
        <v>0</v>
      </c>
      <c r="AB107" s="113">
        <v>0</v>
      </c>
      <c r="AC107" s="113">
        <v>0</v>
      </c>
      <c r="AD107" s="113">
        <v>0</v>
      </c>
      <c r="AE107" s="113">
        <v>0</v>
      </c>
      <c r="AF107" s="113">
        <v>0</v>
      </c>
      <c r="AG107" s="113">
        <v>0</v>
      </c>
      <c r="AH107" s="113">
        <v>0</v>
      </c>
    </row>
    <row r="108" spans="1:34" s="105" customFormat="1" ht="47.25">
      <c r="A108" s="225" t="s">
        <v>966</v>
      </c>
      <c r="B108" s="227" t="s">
        <v>967</v>
      </c>
      <c r="C108" s="228" t="s">
        <v>968</v>
      </c>
      <c r="D108" s="163" t="s">
        <v>876</v>
      </c>
      <c r="E108" s="185">
        <v>0</v>
      </c>
      <c r="F108" s="185">
        <v>0</v>
      </c>
      <c r="G108" s="185">
        <v>0</v>
      </c>
      <c r="H108" s="185">
        <v>0</v>
      </c>
      <c r="I108" s="185">
        <v>0</v>
      </c>
      <c r="J108" s="181">
        <f t="shared" si="60"/>
        <v>0</v>
      </c>
      <c r="K108" s="181">
        <f t="shared" si="61"/>
        <v>0</v>
      </c>
      <c r="L108" s="181">
        <f t="shared" si="62"/>
        <v>0</v>
      </c>
      <c r="M108" s="181">
        <f t="shared" si="63"/>
        <v>0</v>
      </c>
      <c r="N108" s="181">
        <f t="shared" si="64"/>
        <v>0</v>
      </c>
      <c r="O108" s="113">
        <v>0</v>
      </c>
      <c r="P108" s="113">
        <v>0</v>
      </c>
      <c r="Q108" s="113">
        <v>0</v>
      </c>
      <c r="R108" s="113">
        <v>0</v>
      </c>
      <c r="S108" s="113">
        <v>0</v>
      </c>
      <c r="T108" s="113">
        <v>0</v>
      </c>
      <c r="U108" s="113">
        <v>0</v>
      </c>
      <c r="V108" s="113">
        <v>0</v>
      </c>
      <c r="W108" s="113">
        <v>0</v>
      </c>
      <c r="X108" s="113">
        <v>0</v>
      </c>
      <c r="Y108" s="113">
        <v>0</v>
      </c>
      <c r="Z108" s="113">
        <v>0</v>
      </c>
      <c r="AA108" s="113">
        <f>'13'!BM113</f>
        <v>0</v>
      </c>
      <c r="AB108" s="113">
        <v>0</v>
      </c>
      <c r="AC108" s="113">
        <v>0</v>
      </c>
      <c r="AD108" s="113">
        <v>0</v>
      </c>
      <c r="AE108" s="113">
        <v>0</v>
      </c>
      <c r="AF108" s="113">
        <v>0</v>
      </c>
      <c r="AG108" s="113">
        <v>0</v>
      </c>
      <c r="AH108" s="113">
        <v>0</v>
      </c>
    </row>
    <row r="109" spans="1:34" s="105" customFormat="1" ht="63">
      <c r="A109" s="225" t="s">
        <v>969</v>
      </c>
      <c r="B109" s="227" t="s">
        <v>970</v>
      </c>
      <c r="C109" s="228" t="s">
        <v>971</v>
      </c>
      <c r="D109" s="163" t="s">
        <v>876</v>
      </c>
      <c r="E109" s="185">
        <v>0</v>
      </c>
      <c r="F109" s="185">
        <v>0</v>
      </c>
      <c r="G109" s="185">
        <v>0</v>
      </c>
      <c r="H109" s="185">
        <v>0</v>
      </c>
      <c r="I109" s="185">
        <v>0</v>
      </c>
      <c r="J109" s="181">
        <f t="shared" si="60"/>
        <v>0</v>
      </c>
      <c r="K109" s="181">
        <f t="shared" si="61"/>
        <v>0</v>
      </c>
      <c r="L109" s="181">
        <f t="shared" si="62"/>
        <v>0</v>
      </c>
      <c r="M109" s="181">
        <f t="shared" si="63"/>
        <v>0</v>
      </c>
      <c r="N109" s="181">
        <f t="shared" si="64"/>
        <v>0</v>
      </c>
      <c r="O109" s="113">
        <v>0</v>
      </c>
      <c r="P109" s="113">
        <v>0</v>
      </c>
      <c r="Q109" s="113">
        <v>0</v>
      </c>
      <c r="R109" s="113">
        <v>0</v>
      </c>
      <c r="S109" s="113">
        <v>0</v>
      </c>
      <c r="T109" s="113">
        <v>0</v>
      </c>
      <c r="U109" s="113">
        <v>0</v>
      </c>
      <c r="V109" s="113">
        <v>0</v>
      </c>
      <c r="W109" s="113">
        <v>0</v>
      </c>
      <c r="X109" s="113">
        <v>0</v>
      </c>
      <c r="Y109" s="113">
        <v>0</v>
      </c>
      <c r="Z109" s="113">
        <v>0</v>
      </c>
      <c r="AA109" s="113">
        <f>'13'!BM114</f>
        <v>0</v>
      </c>
      <c r="AB109" s="113">
        <v>0</v>
      </c>
      <c r="AC109" s="113">
        <v>0</v>
      </c>
      <c r="AD109" s="113">
        <v>0</v>
      </c>
      <c r="AE109" s="113">
        <v>0</v>
      </c>
      <c r="AF109" s="113">
        <v>0</v>
      </c>
      <c r="AG109" s="113">
        <v>0</v>
      </c>
      <c r="AH109" s="113">
        <v>0</v>
      </c>
    </row>
    <row r="110" spans="1:34">
      <c r="A110" s="709" t="s">
        <v>21</v>
      </c>
      <c r="B110" s="709"/>
      <c r="C110" s="709"/>
      <c r="D110" s="166"/>
      <c r="E110" s="113">
        <f t="shared" ref="E110:N110" si="69">E18</f>
        <v>0.25</v>
      </c>
      <c r="F110" s="113">
        <f t="shared" si="69"/>
        <v>0</v>
      </c>
      <c r="G110" s="113">
        <f t="shared" si="69"/>
        <v>4.6349999999999998</v>
      </c>
      <c r="H110" s="113">
        <f t="shared" si="69"/>
        <v>0</v>
      </c>
      <c r="I110" s="113">
        <f t="shared" si="69"/>
        <v>0</v>
      </c>
      <c r="J110" s="113">
        <f t="shared" si="69"/>
        <v>0</v>
      </c>
      <c r="K110" s="113">
        <f t="shared" si="69"/>
        <v>0</v>
      </c>
      <c r="L110" s="113">
        <f t="shared" si="69"/>
        <v>7.5520000000000005</v>
      </c>
      <c r="M110" s="113">
        <f t="shared" si="69"/>
        <v>0</v>
      </c>
      <c r="N110" s="113">
        <f t="shared" si="69"/>
        <v>0</v>
      </c>
      <c r="O110" s="113">
        <f>O18</f>
        <v>0</v>
      </c>
      <c r="P110" s="113">
        <f t="shared" ref="P110:AH110" si="70">P18</f>
        <v>0</v>
      </c>
      <c r="Q110" s="113">
        <f t="shared" si="70"/>
        <v>0.3</v>
      </c>
      <c r="R110" s="113">
        <f t="shared" si="70"/>
        <v>0</v>
      </c>
      <c r="S110" s="113">
        <f t="shared" si="70"/>
        <v>0</v>
      </c>
      <c r="T110" s="113">
        <f t="shared" si="70"/>
        <v>0</v>
      </c>
      <c r="U110" s="113">
        <f t="shared" si="70"/>
        <v>0</v>
      </c>
      <c r="V110" s="113">
        <f t="shared" si="70"/>
        <v>1.28</v>
      </c>
      <c r="W110" s="113">
        <f t="shared" si="70"/>
        <v>0</v>
      </c>
      <c r="X110" s="113">
        <f t="shared" si="70"/>
        <v>0</v>
      </c>
      <c r="Y110" s="113">
        <f t="shared" si="70"/>
        <v>0</v>
      </c>
      <c r="Z110" s="113">
        <f t="shared" si="70"/>
        <v>0</v>
      </c>
      <c r="AA110" s="113">
        <f t="shared" si="70"/>
        <v>0.90500000000000003</v>
      </c>
      <c r="AB110" s="113">
        <f t="shared" si="70"/>
        <v>0</v>
      </c>
      <c r="AC110" s="113">
        <f t="shared" si="70"/>
        <v>0</v>
      </c>
      <c r="AD110" s="113">
        <f t="shared" si="70"/>
        <v>0</v>
      </c>
      <c r="AE110" s="113">
        <f t="shared" si="70"/>
        <v>0</v>
      </c>
      <c r="AF110" s="113">
        <f t="shared" si="70"/>
        <v>5.0670000000000002</v>
      </c>
      <c r="AG110" s="113">
        <f t="shared" si="70"/>
        <v>0</v>
      </c>
      <c r="AH110" s="113">
        <f t="shared" si="70"/>
        <v>0</v>
      </c>
    </row>
    <row r="113" spans="1:1">
      <c r="A113" s="7" t="s">
        <v>82</v>
      </c>
    </row>
  </sheetData>
  <autoFilter ref="A17:AH17"/>
  <mergeCells count="21">
    <mergeCell ref="A1:AH1"/>
    <mergeCell ref="A2:AH2"/>
    <mergeCell ref="A3:AH3"/>
    <mergeCell ref="A5:AH5"/>
    <mergeCell ref="A7:AH7"/>
    <mergeCell ref="A9:AH9"/>
    <mergeCell ref="A10:AH10"/>
    <mergeCell ref="A110:C110"/>
    <mergeCell ref="J14:AH14"/>
    <mergeCell ref="E15:I15"/>
    <mergeCell ref="J15:N15"/>
    <mergeCell ref="O15:S15"/>
    <mergeCell ref="T15:X15"/>
    <mergeCell ref="Y15:AC15"/>
    <mergeCell ref="AD15:AH15"/>
    <mergeCell ref="A13:A16"/>
    <mergeCell ref="B13:B16"/>
    <mergeCell ref="C13:C16"/>
    <mergeCell ref="D13:D16"/>
    <mergeCell ref="E13:AH13"/>
    <mergeCell ref="E14:I14"/>
  </mergeCells>
  <pageMargins left="0.21" right="0.2" top="0.22" bottom="0.33" header="0.31496062992125984" footer="0.31496062992125984"/>
  <pageSetup paperSize="9" scale="33" fitToHeight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CD118"/>
  <sheetViews>
    <sheetView view="pageBreakPreview" zoomScale="60" zoomScaleNormal="50" workbookViewId="0">
      <pane xSplit="2" ySplit="22" topLeftCell="AN54" activePane="bottomRight" state="frozen"/>
      <selection activeCell="A18" sqref="A18"/>
      <selection pane="topRight" activeCell="C18" sqref="C18"/>
      <selection pane="bottomLeft" activeCell="A23" sqref="A23"/>
      <selection pane="bottomRight" activeCell="BT56" sqref="BT56"/>
    </sheetView>
  </sheetViews>
  <sheetFormatPr defaultRowHeight="15.75" outlineLevelCol="1"/>
  <cols>
    <col min="1" max="1" width="14.42578125" style="7" customWidth="1"/>
    <col min="2" max="2" width="30.42578125" style="54" customWidth="1"/>
    <col min="3" max="3" width="14.85546875" style="54" customWidth="1"/>
    <col min="4" max="4" width="34" style="54" customWidth="1"/>
    <col min="5" max="6" width="9.140625" style="54"/>
    <col min="7" max="7" width="9.7109375" style="54" bestFit="1" customWidth="1"/>
    <col min="8" max="11" width="9.140625" style="54"/>
    <col min="12" max="12" width="13" style="54" customWidth="1" outlineLevel="1"/>
    <col min="13" max="39" width="9.140625" style="54" customWidth="1" outlineLevel="1"/>
    <col min="40" max="40" width="9.7109375" style="54" bestFit="1" customWidth="1"/>
    <col min="41" max="43" width="9.140625" style="54"/>
    <col min="44" max="44" width="8.85546875" style="54" customWidth="1"/>
    <col min="45" max="46" width="9.140625" style="54"/>
    <col min="47" max="47" width="7.7109375" style="54" customWidth="1" outlineLevel="1"/>
    <col min="48" max="74" width="9.140625" style="54" customWidth="1" outlineLevel="1"/>
    <col min="75" max="75" width="9.7109375" style="54" customWidth="1"/>
    <col min="76" max="81" width="9.140625" style="54"/>
    <col min="82" max="82" width="31" style="54" customWidth="1"/>
  </cols>
  <sheetData>
    <row r="1" spans="1:82">
      <c r="BY1" s="7" t="s">
        <v>594</v>
      </c>
    </row>
    <row r="2" spans="1:82">
      <c r="BY2" s="7" t="s">
        <v>23</v>
      </c>
    </row>
    <row r="3" spans="1:82">
      <c r="BY3" s="7" t="s">
        <v>24</v>
      </c>
    </row>
    <row r="6" spans="1:82">
      <c r="A6" s="691" t="s">
        <v>595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  <c r="BF6" s="691"/>
      <c r="BG6" s="691"/>
      <c r="BH6" s="691"/>
      <c r="BI6" s="691"/>
      <c r="BJ6" s="691"/>
      <c r="BK6" s="691"/>
      <c r="BL6" s="691"/>
      <c r="BM6" s="691"/>
      <c r="BN6" s="691"/>
      <c r="BO6" s="691"/>
      <c r="BP6" s="691"/>
      <c r="BQ6" s="691"/>
      <c r="BR6" s="691"/>
      <c r="BS6" s="691"/>
      <c r="BT6" s="691"/>
      <c r="BU6" s="691"/>
      <c r="BV6" s="691"/>
      <c r="BW6" s="691"/>
      <c r="BX6" s="691"/>
      <c r="BY6" s="691"/>
      <c r="BZ6" s="691"/>
      <c r="CA6" s="691"/>
      <c r="CB6" s="691"/>
      <c r="CC6" s="691"/>
      <c r="CD6" s="691"/>
    </row>
    <row r="7" spans="1:82">
      <c r="A7" s="691" t="s">
        <v>596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1"/>
      <c r="BF7" s="691"/>
      <c r="BG7" s="691"/>
      <c r="BH7" s="691"/>
      <c r="BI7" s="691"/>
      <c r="BJ7" s="691"/>
      <c r="BK7" s="691"/>
      <c r="BL7" s="691"/>
      <c r="BM7" s="691"/>
      <c r="BN7" s="691"/>
      <c r="BO7" s="691"/>
      <c r="BP7" s="691"/>
      <c r="BQ7" s="691"/>
      <c r="BR7" s="691"/>
      <c r="BS7" s="691"/>
      <c r="BT7" s="691"/>
      <c r="BU7" s="691"/>
      <c r="BV7" s="691"/>
      <c r="BW7" s="691"/>
      <c r="BX7" s="691"/>
      <c r="BY7" s="691"/>
      <c r="BZ7" s="691"/>
      <c r="CA7" s="691"/>
      <c r="CB7" s="691"/>
      <c r="CC7" s="691"/>
      <c r="CD7" s="691"/>
    </row>
    <row r="8" spans="1:82">
      <c r="A8" s="691" t="s">
        <v>1188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1"/>
      <c r="BF8" s="691"/>
      <c r="BG8" s="691"/>
      <c r="BH8" s="691"/>
      <c r="BI8" s="691"/>
      <c r="BJ8" s="691"/>
      <c r="BK8" s="691"/>
      <c r="BL8" s="691"/>
      <c r="BM8" s="691"/>
      <c r="BN8" s="691"/>
      <c r="BO8" s="691"/>
      <c r="BP8" s="691"/>
      <c r="BQ8" s="691"/>
      <c r="BR8" s="691"/>
      <c r="BS8" s="691"/>
      <c r="BT8" s="691"/>
      <c r="BU8" s="691"/>
      <c r="BV8" s="691"/>
      <c r="BW8" s="691"/>
      <c r="BX8" s="691"/>
      <c r="BY8" s="691"/>
      <c r="BZ8" s="691"/>
      <c r="CA8" s="691"/>
      <c r="CB8" s="691"/>
      <c r="CC8" s="691"/>
      <c r="CD8" s="691"/>
    </row>
    <row r="10" spans="1:82">
      <c r="A10" s="694" t="s">
        <v>727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  <c r="AQ10" s="694"/>
      <c r="AR10" s="694"/>
      <c r="AS10" s="694"/>
      <c r="AT10" s="694"/>
      <c r="AU10" s="694"/>
      <c r="AV10" s="694"/>
      <c r="AW10" s="694"/>
      <c r="AX10" s="694"/>
      <c r="AY10" s="694"/>
      <c r="AZ10" s="694"/>
      <c r="BA10" s="694"/>
      <c r="BB10" s="694"/>
      <c r="BC10" s="694"/>
      <c r="BD10" s="694"/>
      <c r="BE10" s="694"/>
      <c r="BF10" s="694"/>
      <c r="BG10" s="694"/>
      <c r="BH10" s="694"/>
      <c r="BI10" s="694"/>
      <c r="BJ10" s="694"/>
      <c r="BK10" s="694"/>
      <c r="BL10" s="694"/>
      <c r="BM10" s="694"/>
      <c r="BN10" s="694"/>
      <c r="BO10" s="694"/>
      <c r="BP10" s="694"/>
      <c r="BQ10" s="694"/>
      <c r="BR10" s="694"/>
      <c r="BS10" s="694"/>
      <c r="BT10" s="694"/>
      <c r="BU10" s="694"/>
      <c r="BV10" s="694"/>
      <c r="BW10" s="694"/>
      <c r="BX10" s="694"/>
      <c r="BY10" s="694"/>
      <c r="BZ10" s="694"/>
      <c r="CA10" s="694"/>
      <c r="CB10" s="694"/>
      <c r="CC10" s="694"/>
      <c r="CD10" s="694"/>
    </row>
    <row r="12" spans="1:82">
      <c r="A12" s="693" t="s">
        <v>725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3"/>
      <c r="AP12" s="693"/>
      <c r="AQ12" s="693"/>
      <c r="AR12" s="693"/>
      <c r="AS12" s="693"/>
      <c r="AT12" s="693"/>
      <c r="AU12" s="693"/>
      <c r="AV12" s="693"/>
      <c r="AW12" s="693"/>
      <c r="AX12" s="693"/>
      <c r="AY12" s="693"/>
      <c r="AZ12" s="693"/>
      <c r="BA12" s="693"/>
      <c r="BB12" s="693"/>
      <c r="BC12" s="693"/>
      <c r="BD12" s="693"/>
      <c r="BE12" s="693"/>
      <c r="BF12" s="693"/>
      <c r="BG12" s="693"/>
      <c r="BH12" s="693"/>
      <c r="BI12" s="693"/>
      <c r="BJ12" s="693"/>
      <c r="BK12" s="693"/>
      <c r="BL12" s="693"/>
      <c r="BM12" s="693"/>
      <c r="BN12" s="693"/>
      <c r="BO12" s="693"/>
      <c r="BP12" s="693"/>
      <c r="BQ12" s="693"/>
      <c r="BR12" s="693"/>
      <c r="BS12" s="693"/>
      <c r="BT12" s="693"/>
      <c r="BU12" s="693"/>
      <c r="BV12" s="693"/>
      <c r="BW12" s="693"/>
      <c r="BX12" s="693"/>
      <c r="BY12" s="693"/>
      <c r="BZ12" s="693"/>
      <c r="CA12" s="693"/>
      <c r="CB12" s="693"/>
      <c r="CC12" s="693"/>
      <c r="CD12" s="693"/>
    </row>
    <row r="14" spans="1:82">
      <c r="A14" s="693" t="s">
        <v>34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  <c r="AL14" s="693"/>
      <c r="AM14" s="693"/>
      <c r="AN14" s="693"/>
      <c r="AO14" s="693"/>
      <c r="AP14" s="693"/>
      <c r="AQ14" s="693"/>
      <c r="AR14" s="693"/>
      <c r="AS14" s="693"/>
      <c r="AT14" s="693"/>
      <c r="AU14" s="693"/>
      <c r="AV14" s="693"/>
      <c r="AW14" s="693"/>
      <c r="AX14" s="693"/>
      <c r="AY14" s="693"/>
      <c r="AZ14" s="693"/>
      <c r="BA14" s="693"/>
      <c r="BB14" s="693"/>
      <c r="BC14" s="693"/>
      <c r="BD14" s="693"/>
      <c r="BE14" s="693"/>
      <c r="BF14" s="693"/>
      <c r="BG14" s="693"/>
      <c r="BH14" s="693"/>
      <c r="BI14" s="693"/>
      <c r="BJ14" s="693"/>
      <c r="BK14" s="693"/>
      <c r="BL14" s="693"/>
      <c r="BM14" s="693"/>
      <c r="BN14" s="693"/>
      <c r="BO14" s="693"/>
      <c r="BP14" s="693"/>
      <c r="BQ14" s="693"/>
      <c r="BR14" s="693"/>
      <c r="BS14" s="693"/>
      <c r="BT14" s="693"/>
      <c r="BU14" s="693"/>
      <c r="BV14" s="693"/>
      <c r="BW14" s="693"/>
      <c r="BX14" s="693"/>
      <c r="BY14" s="693"/>
      <c r="BZ14" s="693"/>
      <c r="CA14" s="693"/>
      <c r="CB14" s="693"/>
      <c r="CC14" s="693"/>
      <c r="CD14" s="693"/>
    </row>
    <row r="15" spans="1:82">
      <c r="A15" s="692" t="s">
        <v>1190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  <c r="AQ15" s="692"/>
      <c r="AR15" s="692"/>
      <c r="AS15" s="692"/>
      <c r="AT15" s="692"/>
      <c r="AU15" s="692"/>
      <c r="AV15" s="692"/>
      <c r="AW15" s="692"/>
      <c r="AX15" s="692"/>
      <c r="AY15" s="692"/>
      <c r="AZ15" s="692"/>
      <c r="BA15" s="692"/>
      <c r="BB15" s="692"/>
      <c r="BC15" s="692"/>
      <c r="BD15" s="692"/>
      <c r="BE15" s="692"/>
      <c r="BF15" s="692"/>
      <c r="BG15" s="692"/>
      <c r="BH15" s="692"/>
      <c r="BI15" s="692"/>
      <c r="BJ15" s="692"/>
      <c r="BK15" s="692"/>
      <c r="BL15" s="692"/>
      <c r="BM15" s="692"/>
      <c r="BN15" s="692"/>
      <c r="BO15" s="692"/>
      <c r="BP15" s="692"/>
      <c r="BQ15" s="692"/>
      <c r="BR15" s="692"/>
      <c r="BS15" s="692"/>
      <c r="BT15" s="692"/>
      <c r="BU15" s="692"/>
      <c r="BV15" s="692"/>
      <c r="BW15" s="692"/>
      <c r="BX15" s="692"/>
      <c r="BY15" s="692"/>
      <c r="BZ15" s="692"/>
      <c r="CA15" s="692"/>
      <c r="CB15" s="692"/>
      <c r="CC15" s="692"/>
      <c r="CD15" s="692"/>
    </row>
    <row r="18" spans="1:82" s="65" customFormat="1">
      <c r="A18" s="695" t="s">
        <v>0</v>
      </c>
      <c r="B18" s="695" t="s">
        <v>1</v>
      </c>
      <c r="C18" s="695" t="s">
        <v>2</v>
      </c>
      <c r="D18" s="695" t="s">
        <v>69</v>
      </c>
      <c r="E18" s="710" t="s">
        <v>735</v>
      </c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1"/>
      <c r="AJ18" s="711"/>
      <c r="AK18" s="711"/>
      <c r="AL18" s="711"/>
      <c r="AM18" s="711"/>
      <c r="AN18" s="711"/>
      <c r="AO18" s="711"/>
      <c r="AP18" s="711"/>
      <c r="AQ18" s="711"/>
      <c r="AR18" s="711"/>
      <c r="AS18" s="711"/>
      <c r="AT18" s="711"/>
      <c r="AU18" s="711"/>
      <c r="AV18" s="711"/>
      <c r="AW18" s="711"/>
      <c r="AX18" s="711"/>
      <c r="AY18" s="711"/>
      <c r="AZ18" s="711"/>
      <c r="BA18" s="711"/>
      <c r="BB18" s="711"/>
      <c r="BC18" s="711"/>
      <c r="BD18" s="711"/>
      <c r="BE18" s="711"/>
      <c r="BF18" s="711"/>
      <c r="BG18" s="711"/>
      <c r="BH18" s="711"/>
      <c r="BI18" s="711"/>
      <c r="BJ18" s="711"/>
      <c r="BK18" s="711"/>
      <c r="BL18" s="711"/>
      <c r="BM18" s="711"/>
      <c r="BN18" s="711"/>
      <c r="BO18" s="711"/>
      <c r="BP18" s="711"/>
      <c r="BQ18" s="711"/>
      <c r="BR18" s="711"/>
      <c r="BS18" s="711"/>
      <c r="BT18" s="711"/>
      <c r="BU18" s="711"/>
      <c r="BV18" s="712"/>
      <c r="BW18" s="695" t="s">
        <v>597</v>
      </c>
      <c r="BX18" s="695"/>
      <c r="BY18" s="695"/>
      <c r="BZ18" s="695"/>
      <c r="CA18" s="695"/>
      <c r="CB18" s="695"/>
      <c r="CC18" s="695"/>
      <c r="CD18" s="695" t="s">
        <v>10</v>
      </c>
    </row>
    <row r="19" spans="1:82" s="65" customFormat="1" ht="42.75" customHeight="1">
      <c r="A19" s="695"/>
      <c r="B19" s="695"/>
      <c r="C19" s="695"/>
      <c r="D19" s="695"/>
      <c r="E19" s="706" t="s">
        <v>11</v>
      </c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8"/>
      <c r="AN19" s="695" t="s">
        <v>12</v>
      </c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5"/>
      <c r="BA19" s="695"/>
      <c r="BB19" s="695"/>
      <c r="BC19" s="695"/>
      <c r="BD19" s="695"/>
      <c r="BE19" s="695"/>
      <c r="BF19" s="695"/>
      <c r="BG19" s="695"/>
      <c r="BH19" s="695"/>
      <c r="BI19" s="695"/>
      <c r="BJ19" s="695"/>
      <c r="BK19" s="695"/>
      <c r="BL19" s="695"/>
      <c r="BM19" s="695"/>
      <c r="BN19" s="695"/>
      <c r="BO19" s="695"/>
      <c r="BP19" s="695"/>
      <c r="BQ19" s="695"/>
      <c r="BR19" s="695"/>
      <c r="BS19" s="695"/>
      <c r="BT19" s="695"/>
      <c r="BU19" s="695"/>
      <c r="BV19" s="695"/>
      <c r="BW19" s="695"/>
      <c r="BX19" s="695"/>
      <c r="BY19" s="695"/>
      <c r="BZ19" s="695"/>
      <c r="CA19" s="695"/>
      <c r="CB19" s="695"/>
      <c r="CC19" s="695"/>
      <c r="CD19" s="695"/>
    </row>
    <row r="20" spans="1:82" s="65" customFormat="1" ht="42.75" customHeight="1">
      <c r="A20" s="695"/>
      <c r="B20" s="695"/>
      <c r="C20" s="695"/>
      <c r="D20" s="695"/>
      <c r="E20" s="695" t="s">
        <v>485</v>
      </c>
      <c r="F20" s="695"/>
      <c r="G20" s="695"/>
      <c r="H20" s="695"/>
      <c r="I20" s="695"/>
      <c r="J20" s="695"/>
      <c r="K20" s="695"/>
      <c r="L20" s="695" t="s">
        <v>486</v>
      </c>
      <c r="M20" s="695"/>
      <c r="N20" s="695"/>
      <c r="O20" s="695"/>
      <c r="P20" s="695"/>
      <c r="Q20" s="695"/>
      <c r="R20" s="695"/>
      <c r="S20" s="695" t="s">
        <v>487</v>
      </c>
      <c r="T20" s="695"/>
      <c r="U20" s="695"/>
      <c r="V20" s="695"/>
      <c r="W20" s="695"/>
      <c r="X20" s="695"/>
      <c r="Y20" s="695"/>
      <c r="Z20" s="695" t="s">
        <v>488</v>
      </c>
      <c r="AA20" s="695"/>
      <c r="AB20" s="695"/>
      <c r="AC20" s="695"/>
      <c r="AD20" s="695"/>
      <c r="AE20" s="695"/>
      <c r="AF20" s="695"/>
      <c r="AG20" s="706" t="s">
        <v>489</v>
      </c>
      <c r="AH20" s="707"/>
      <c r="AI20" s="707"/>
      <c r="AJ20" s="707"/>
      <c r="AK20" s="707"/>
      <c r="AL20" s="707"/>
      <c r="AM20" s="708"/>
      <c r="AN20" s="695" t="s">
        <v>485</v>
      </c>
      <c r="AO20" s="695"/>
      <c r="AP20" s="695"/>
      <c r="AQ20" s="695"/>
      <c r="AR20" s="695"/>
      <c r="AS20" s="695"/>
      <c r="AT20" s="695"/>
      <c r="AU20" s="695" t="s">
        <v>486</v>
      </c>
      <c r="AV20" s="695"/>
      <c r="AW20" s="695"/>
      <c r="AX20" s="695"/>
      <c r="AY20" s="695"/>
      <c r="AZ20" s="695"/>
      <c r="BA20" s="695"/>
      <c r="BB20" s="695" t="s">
        <v>487</v>
      </c>
      <c r="BC20" s="695"/>
      <c r="BD20" s="695"/>
      <c r="BE20" s="695"/>
      <c r="BF20" s="695"/>
      <c r="BG20" s="695"/>
      <c r="BH20" s="695"/>
      <c r="BI20" s="695" t="s">
        <v>488</v>
      </c>
      <c r="BJ20" s="695"/>
      <c r="BK20" s="695"/>
      <c r="BL20" s="695"/>
      <c r="BM20" s="695"/>
      <c r="BN20" s="695"/>
      <c r="BO20" s="695"/>
      <c r="BP20" s="695" t="s">
        <v>489</v>
      </c>
      <c r="BQ20" s="695"/>
      <c r="BR20" s="695"/>
      <c r="BS20" s="695"/>
      <c r="BT20" s="695"/>
      <c r="BU20" s="695"/>
      <c r="BV20" s="695"/>
      <c r="BW20" s="695"/>
      <c r="BX20" s="695"/>
      <c r="BY20" s="695"/>
      <c r="BZ20" s="695"/>
      <c r="CA20" s="695"/>
      <c r="CB20" s="695"/>
      <c r="CC20" s="695"/>
      <c r="CD20" s="695"/>
    </row>
    <row r="21" spans="1:82" s="65" customFormat="1" ht="42.75" customHeight="1">
      <c r="A21" s="695"/>
      <c r="B21" s="695"/>
      <c r="C21" s="695"/>
      <c r="D21" s="695"/>
      <c r="E21" s="66" t="s">
        <v>58</v>
      </c>
      <c r="F21" s="66" t="s">
        <v>59</v>
      </c>
      <c r="G21" s="66" t="s">
        <v>78</v>
      </c>
      <c r="H21" s="66" t="s">
        <v>79</v>
      </c>
      <c r="I21" s="66" t="s">
        <v>80</v>
      </c>
      <c r="J21" s="66" t="s">
        <v>61</v>
      </c>
      <c r="K21" s="66" t="s">
        <v>62</v>
      </c>
      <c r="L21" s="66" t="s">
        <v>58</v>
      </c>
      <c r="M21" s="66" t="s">
        <v>59</v>
      </c>
      <c r="N21" s="66" t="s">
        <v>78</v>
      </c>
      <c r="O21" s="66" t="s">
        <v>79</v>
      </c>
      <c r="P21" s="66" t="s">
        <v>80</v>
      </c>
      <c r="Q21" s="66" t="s">
        <v>61</v>
      </c>
      <c r="R21" s="66" t="s">
        <v>62</v>
      </c>
      <c r="S21" s="66" t="s">
        <v>58</v>
      </c>
      <c r="T21" s="66" t="s">
        <v>59</v>
      </c>
      <c r="U21" s="66" t="s">
        <v>78</v>
      </c>
      <c r="V21" s="66" t="s">
        <v>79</v>
      </c>
      <c r="W21" s="66" t="s">
        <v>80</v>
      </c>
      <c r="X21" s="66" t="s">
        <v>61</v>
      </c>
      <c r="Y21" s="66" t="s">
        <v>62</v>
      </c>
      <c r="Z21" s="66" t="s">
        <v>58</v>
      </c>
      <c r="AA21" s="66" t="s">
        <v>59</v>
      </c>
      <c r="AB21" s="66" t="s">
        <v>78</v>
      </c>
      <c r="AC21" s="66" t="s">
        <v>79</v>
      </c>
      <c r="AD21" s="66" t="s">
        <v>80</v>
      </c>
      <c r="AE21" s="66" t="s">
        <v>61</v>
      </c>
      <c r="AF21" s="66" t="s">
        <v>62</v>
      </c>
      <c r="AG21" s="66" t="s">
        <v>58</v>
      </c>
      <c r="AH21" s="66" t="s">
        <v>59</v>
      </c>
      <c r="AI21" s="66" t="s">
        <v>78</v>
      </c>
      <c r="AJ21" s="66" t="s">
        <v>79</v>
      </c>
      <c r="AK21" s="66" t="s">
        <v>80</v>
      </c>
      <c r="AL21" s="66" t="s">
        <v>61</v>
      </c>
      <c r="AM21" s="66" t="s">
        <v>62</v>
      </c>
      <c r="AN21" s="66" t="s">
        <v>58</v>
      </c>
      <c r="AO21" s="66" t="s">
        <v>59</v>
      </c>
      <c r="AP21" s="66" t="s">
        <v>78</v>
      </c>
      <c r="AQ21" s="66" t="s">
        <v>79</v>
      </c>
      <c r="AR21" s="66" t="s">
        <v>80</v>
      </c>
      <c r="AS21" s="66" t="s">
        <v>61</v>
      </c>
      <c r="AT21" s="66" t="s">
        <v>62</v>
      </c>
      <c r="AU21" s="66" t="s">
        <v>58</v>
      </c>
      <c r="AV21" s="66" t="s">
        <v>59</v>
      </c>
      <c r="AW21" s="66" t="s">
        <v>78</v>
      </c>
      <c r="AX21" s="66" t="s">
        <v>79</v>
      </c>
      <c r="AY21" s="66" t="s">
        <v>80</v>
      </c>
      <c r="AZ21" s="66" t="s">
        <v>61</v>
      </c>
      <c r="BA21" s="66" t="s">
        <v>62</v>
      </c>
      <c r="BB21" s="66" t="s">
        <v>58</v>
      </c>
      <c r="BC21" s="66" t="s">
        <v>59</v>
      </c>
      <c r="BD21" s="66" t="s">
        <v>78</v>
      </c>
      <c r="BE21" s="66" t="s">
        <v>79</v>
      </c>
      <c r="BF21" s="66" t="s">
        <v>80</v>
      </c>
      <c r="BG21" s="66" t="s">
        <v>61</v>
      </c>
      <c r="BH21" s="66" t="s">
        <v>62</v>
      </c>
      <c r="BI21" s="66" t="s">
        <v>58</v>
      </c>
      <c r="BJ21" s="66" t="s">
        <v>59</v>
      </c>
      <c r="BK21" s="66" t="s">
        <v>78</v>
      </c>
      <c r="BL21" s="66" t="s">
        <v>79</v>
      </c>
      <c r="BM21" s="66" t="s">
        <v>80</v>
      </c>
      <c r="BN21" s="66" t="s">
        <v>61</v>
      </c>
      <c r="BO21" s="66" t="s">
        <v>62</v>
      </c>
      <c r="BP21" s="66" t="s">
        <v>58</v>
      </c>
      <c r="BQ21" s="66" t="s">
        <v>59</v>
      </c>
      <c r="BR21" s="66" t="s">
        <v>78</v>
      </c>
      <c r="BS21" s="66" t="s">
        <v>79</v>
      </c>
      <c r="BT21" s="66" t="s">
        <v>80</v>
      </c>
      <c r="BU21" s="66" t="s">
        <v>61</v>
      </c>
      <c r="BV21" s="66" t="s">
        <v>62</v>
      </c>
      <c r="BW21" s="66" t="s">
        <v>58</v>
      </c>
      <c r="BX21" s="66" t="s">
        <v>59</v>
      </c>
      <c r="BY21" s="66" t="s">
        <v>78</v>
      </c>
      <c r="BZ21" s="66" t="s">
        <v>79</v>
      </c>
      <c r="CA21" s="66" t="s">
        <v>80</v>
      </c>
      <c r="CB21" s="66" t="s">
        <v>61</v>
      </c>
      <c r="CC21" s="66" t="s">
        <v>62</v>
      </c>
      <c r="CD21" s="695"/>
    </row>
    <row r="22" spans="1:82" s="65" customFormat="1">
      <c r="A22" s="66">
        <v>1</v>
      </c>
      <c r="B22" s="66">
        <v>2</v>
      </c>
      <c r="C22" s="66">
        <v>3</v>
      </c>
      <c r="D22" s="66">
        <v>4</v>
      </c>
      <c r="E22" s="66" t="s">
        <v>501</v>
      </c>
      <c r="F22" s="66" t="s">
        <v>502</v>
      </c>
      <c r="G22" s="66" t="s">
        <v>503</v>
      </c>
      <c r="H22" s="66" t="s">
        <v>504</v>
      </c>
      <c r="I22" s="66" t="s">
        <v>505</v>
      </c>
      <c r="J22" s="66" t="s">
        <v>506</v>
      </c>
      <c r="K22" s="66" t="s">
        <v>507</v>
      </c>
      <c r="L22" s="66" t="s">
        <v>508</v>
      </c>
      <c r="M22" s="66" t="s">
        <v>509</v>
      </c>
      <c r="N22" s="66" t="s">
        <v>510</v>
      </c>
      <c r="O22" s="66" t="s">
        <v>511</v>
      </c>
      <c r="P22" s="66" t="s">
        <v>512</v>
      </c>
      <c r="Q22" s="66" t="s">
        <v>513</v>
      </c>
      <c r="R22" s="66" t="s">
        <v>514</v>
      </c>
      <c r="S22" s="66" t="s">
        <v>515</v>
      </c>
      <c r="T22" s="66" t="s">
        <v>516</v>
      </c>
      <c r="U22" s="66" t="s">
        <v>517</v>
      </c>
      <c r="V22" s="66" t="s">
        <v>518</v>
      </c>
      <c r="W22" s="66" t="s">
        <v>519</v>
      </c>
      <c r="X22" s="66" t="s">
        <v>520</v>
      </c>
      <c r="Y22" s="66" t="s">
        <v>521</v>
      </c>
      <c r="Z22" s="66" t="s">
        <v>522</v>
      </c>
      <c r="AA22" s="66" t="s">
        <v>523</v>
      </c>
      <c r="AB22" s="66" t="s">
        <v>524</v>
      </c>
      <c r="AC22" s="66" t="s">
        <v>525</v>
      </c>
      <c r="AD22" s="66" t="s">
        <v>526</v>
      </c>
      <c r="AE22" s="66" t="s">
        <v>527</v>
      </c>
      <c r="AF22" s="66" t="s">
        <v>528</v>
      </c>
      <c r="AG22" s="66" t="s">
        <v>529</v>
      </c>
      <c r="AH22" s="66" t="s">
        <v>530</v>
      </c>
      <c r="AI22" s="66" t="s">
        <v>531</v>
      </c>
      <c r="AJ22" s="66" t="s">
        <v>532</v>
      </c>
      <c r="AK22" s="66" t="s">
        <v>533</v>
      </c>
      <c r="AL22" s="66" t="s">
        <v>534</v>
      </c>
      <c r="AM22" s="66" t="s">
        <v>535</v>
      </c>
      <c r="AN22" s="66" t="s">
        <v>537</v>
      </c>
      <c r="AO22" s="66" t="s">
        <v>538</v>
      </c>
      <c r="AP22" s="66" t="s">
        <v>539</v>
      </c>
      <c r="AQ22" s="66" t="s">
        <v>540</v>
      </c>
      <c r="AR22" s="66" t="s">
        <v>541</v>
      </c>
      <c r="AS22" s="66" t="s">
        <v>542</v>
      </c>
      <c r="AT22" s="66" t="s">
        <v>543</v>
      </c>
      <c r="AU22" s="66" t="s">
        <v>544</v>
      </c>
      <c r="AV22" s="66" t="s">
        <v>545</v>
      </c>
      <c r="AW22" s="66" t="s">
        <v>546</v>
      </c>
      <c r="AX22" s="66" t="s">
        <v>547</v>
      </c>
      <c r="AY22" s="66" t="s">
        <v>548</v>
      </c>
      <c r="AZ22" s="66" t="s">
        <v>549</v>
      </c>
      <c r="BA22" s="66" t="s">
        <v>550</v>
      </c>
      <c r="BB22" s="66" t="s">
        <v>551</v>
      </c>
      <c r="BC22" s="66" t="s">
        <v>552</v>
      </c>
      <c r="BD22" s="66" t="s">
        <v>553</v>
      </c>
      <c r="BE22" s="66" t="s">
        <v>554</v>
      </c>
      <c r="BF22" s="66" t="s">
        <v>555</v>
      </c>
      <c r="BG22" s="66" t="s">
        <v>556</v>
      </c>
      <c r="BH22" s="66" t="s">
        <v>557</v>
      </c>
      <c r="BI22" s="66" t="s">
        <v>558</v>
      </c>
      <c r="BJ22" s="66" t="s">
        <v>559</v>
      </c>
      <c r="BK22" s="66" t="s">
        <v>560</v>
      </c>
      <c r="BL22" s="66" t="s">
        <v>561</v>
      </c>
      <c r="BM22" s="66" t="s">
        <v>562</v>
      </c>
      <c r="BN22" s="66" t="s">
        <v>563</v>
      </c>
      <c r="BO22" s="66" t="s">
        <v>564</v>
      </c>
      <c r="BP22" s="66" t="s">
        <v>565</v>
      </c>
      <c r="BQ22" s="66" t="s">
        <v>566</v>
      </c>
      <c r="BR22" s="66" t="s">
        <v>567</v>
      </c>
      <c r="BS22" s="66" t="s">
        <v>568</v>
      </c>
      <c r="BT22" s="66" t="s">
        <v>569</v>
      </c>
      <c r="BU22" s="66" t="s">
        <v>570</v>
      </c>
      <c r="BV22" s="66" t="s">
        <v>571</v>
      </c>
      <c r="BW22" s="66" t="s">
        <v>574</v>
      </c>
      <c r="BX22" s="66" t="s">
        <v>575</v>
      </c>
      <c r="BY22" s="66" t="s">
        <v>576</v>
      </c>
      <c r="BZ22" s="66" t="s">
        <v>577</v>
      </c>
      <c r="CA22" s="66" t="s">
        <v>578</v>
      </c>
      <c r="CB22" s="66" t="s">
        <v>598</v>
      </c>
      <c r="CC22" s="66" t="s">
        <v>599</v>
      </c>
      <c r="CD22" s="66">
        <v>8</v>
      </c>
    </row>
    <row r="23" spans="1:82" s="65" customFormat="1" ht="31.5">
      <c r="A23" s="236">
        <v>0</v>
      </c>
      <c r="B23" s="198" t="s">
        <v>21</v>
      </c>
      <c r="C23" s="198" t="s">
        <v>876</v>
      </c>
      <c r="D23" s="516" t="s">
        <v>876</v>
      </c>
      <c r="E23" s="249">
        <v>0.25</v>
      </c>
      <c r="F23" s="249">
        <v>0</v>
      </c>
      <c r="G23" s="249">
        <f>G24+G25+G26+G28+G29</f>
        <v>4.6349999999999998</v>
      </c>
      <c r="H23" s="249">
        <v>0</v>
      </c>
      <c r="I23" s="249">
        <v>0</v>
      </c>
      <c r="J23" s="249">
        <v>0</v>
      </c>
      <c r="K23" s="249">
        <v>0</v>
      </c>
      <c r="L23" s="248">
        <f>L24+L25+L26+L27+L28+L29</f>
        <v>0</v>
      </c>
      <c r="M23" s="248">
        <f t="shared" ref="M23:AM23" si="0">M24+M25+M26+M27+M28+M29</f>
        <v>0</v>
      </c>
      <c r="N23" s="248">
        <f t="shared" si="0"/>
        <v>0</v>
      </c>
      <c r="O23" s="248">
        <f t="shared" si="0"/>
        <v>0</v>
      </c>
      <c r="P23" s="248">
        <f t="shared" si="0"/>
        <v>0</v>
      </c>
      <c r="Q23" s="248">
        <f t="shared" si="0"/>
        <v>0</v>
      </c>
      <c r="R23" s="248">
        <f t="shared" si="0"/>
        <v>0</v>
      </c>
      <c r="S23" s="248">
        <f t="shared" si="0"/>
        <v>0</v>
      </c>
      <c r="T23" s="248">
        <f t="shared" si="0"/>
        <v>0</v>
      </c>
      <c r="U23" s="248">
        <f t="shared" si="0"/>
        <v>0</v>
      </c>
      <c r="V23" s="248">
        <f t="shared" si="0"/>
        <v>0</v>
      </c>
      <c r="W23" s="248">
        <f t="shared" si="0"/>
        <v>0</v>
      </c>
      <c r="X23" s="248">
        <f t="shared" si="0"/>
        <v>0</v>
      </c>
      <c r="Y23" s="248">
        <f t="shared" si="0"/>
        <v>0</v>
      </c>
      <c r="Z23" s="248">
        <f t="shared" si="0"/>
        <v>0</v>
      </c>
      <c r="AA23" s="248">
        <f t="shared" si="0"/>
        <v>0</v>
      </c>
      <c r="AB23" s="248">
        <f t="shared" si="0"/>
        <v>0</v>
      </c>
      <c r="AC23" s="248">
        <f t="shared" si="0"/>
        <v>0</v>
      </c>
      <c r="AD23" s="248">
        <f t="shared" si="0"/>
        <v>0</v>
      </c>
      <c r="AE23" s="248">
        <f t="shared" si="0"/>
        <v>0</v>
      </c>
      <c r="AF23" s="248">
        <f t="shared" si="0"/>
        <v>0</v>
      </c>
      <c r="AG23" s="248">
        <f t="shared" si="0"/>
        <v>0</v>
      </c>
      <c r="AH23" s="248">
        <f t="shared" si="0"/>
        <v>0</v>
      </c>
      <c r="AI23" s="248">
        <f t="shared" si="0"/>
        <v>0</v>
      </c>
      <c r="AJ23" s="248">
        <f t="shared" si="0"/>
        <v>0</v>
      </c>
      <c r="AK23" s="248">
        <f t="shared" si="0"/>
        <v>0</v>
      </c>
      <c r="AL23" s="248">
        <f t="shared" si="0"/>
        <v>0</v>
      </c>
      <c r="AM23" s="248">
        <f t="shared" si="0"/>
        <v>0</v>
      </c>
      <c r="AN23" s="248">
        <f>AU23+BB23+BI23+BP23</f>
        <v>0</v>
      </c>
      <c r="AO23" s="248">
        <f t="shared" ref="AO23:AT23" si="1">AV23+BC23+BJ23+BQ23</f>
        <v>0</v>
      </c>
      <c r="AP23" s="248">
        <f>AW23+BD23+BK23+BR23</f>
        <v>7.2139999999999995</v>
      </c>
      <c r="AQ23" s="248">
        <f t="shared" si="1"/>
        <v>0</v>
      </c>
      <c r="AR23" s="248">
        <f t="shared" si="1"/>
        <v>0.33799999999999997</v>
      </c>
      <c r="AS23" s="248">
        <f t="shared" si="1"/>
        <v>0</v>
      </c>
      <c r="AT23" s="248">
        <f t="shared" si="1"/>
        <v>0</v>
      </c>
      <c r="AU23" s="248">
        <f t="shared" ref="AU23:BV23" si="2">AU24+AU25+AU26+AU27+AU28+AU29</f>
        <v>0</v>
      </c>
      <c r="AV23" s="248">
        <f t="shared" si="2"/>
        <v>0</v>
      </c>
      <c r="AW23" s="248">
        <f t="shared" si="2"/>
        <v>0.3</v>
      </c>
      <c r="AX23" s="248">
        <f t="shared" si="2"/>
        <v>0</v>
      </c>
      <c r="AY23" s="248">
        <f t="shared" si="2"/>
        <v>0</v>
      </c>
      <c r="AZ23" s="248">
        <f t="shared" si="2"/>
        <v>0</v>
      </c>
      <c r="BA23" s="248">
        <f t="shared" si="2"/>
        <v>0</v>
      </c>
      <c r="BB23" s="248">
        <f>BB24+BB25+BB26+BB27+BB28+BB29</f>
        <v>0</v>
      </c>
      <c r="BC23" s="248">
        <f t="shared" si="2"/>
        <v>0</v>
      </c>
      <c r="BD23" s="248">
        <f t="shared" si="2"/>
        <v>1.28</v>
      </c>
      <c r="BE23" s="248">
        <f t="shared" si="2"/>
        <v>0</v>
      </c>
      <c r="BF23" s="248">
        <f t="shared" si="2"/>
        <v>0</v>
      </c>
      <c r="BG23" s="248">
        <f t="shared" si="2"/>
        <v>0</v>
      </c>
      <c r="BH23" s="248">
        <f t="shared" si="2"/>
        <v>0</v>
      </c>
      <c r="BI23" s="248">
        <f t="shared" si="2"/>
        <v>0</v>
      </c>
      <c r="BJ23" s="248">
        <f t="shared" si="2"/>
        <v>0</v>
      </c>
      <c r="BK23" s="248">
        <f t="shared" si="2"/>
        <v>0.32500000000000001</v>
      </c>
      <c r="BL23" s="248">
        <f t="shared" si="2"/>
        <v>0</v>
      </c>
      <c r="BM23" s="248">
        <f t="shared" si="2"/>
        <v>0</v>
      </c>
      <c r="BN23" s="248">
        <f t="shared" si="2"/>
        <v>0</v>
      </c>
      <c r="BO23" s="248">
        <f t="shared" si="2"/>
        <v>0</v>
      </c>
      <c r="BP23" s="248">
        <f t="shared" si="2"/>
        <v>0</v>
      </c>
      <c r="BQ23" s="248">
        <f t="shared" si="2"/>
        <v>0</v>
      </c>
      <c r="BR23" s="248">
        <f>BR24+BR25+BR26+BR27+BR28+BR29</f>
        <v>5.3089999999999993</v>
      </c>
      <c r="BS23" s="248">
        <f t="shared" si="2"/>
        <v>0</v>
      </c>
      <c r="BT23" s="248">
        <f t="shared" si="2"/>
        <v>0.33799999999999997</v>
      </c>
      <c r="BU23" s="248">
        <f t="shared" si="2"/>
        <v>0</v>
      </c>
      <c r="BV23" s="248">
        <f t="shared" si="2"/>
        <v>0</v>
      </c>
      <c r="BW23" s="248">
        <f>E23-AN23</f>
        <v>0.25</v>
      </c>
      <c r="BX23" s="248">
        <f t="shared" ref="BX23:CC23" si="3">F23-AO23</f>
        <v>0</v>
      </c>
      <c r="BY23" s="248">
        <f t="shared" si="3"/>
        <v>-2.5789999999999997</v>
      </c>
      <c r="BZ23" s="248">
        <f t="shared" si="3"/>
        <v>0</v>
      </c>
      <c r="CA23" s="248">
        <f t="shared" si="3"/>
        <v>-0.33799999999999997</v>
      </c>
      <c r="CB23" s="248">
        <f t="shared" si="3"/>
        <v>0</v>
      </c>
      <c r="CC23" s="248">
        <f t="shared" si="3"/>
        <v>0</v>
      </c>
      <c r="CD23" s="156">
        <f>'10'!T22</f>
        <v>0</v>
      </c>
    </row>
    <row r="24" spans="1:82" s="65" customFormat="1" ht="31.5">
      <c r="A24" s="236" t="s">
        <v>877</v>
      </c>
      <c r="B24" s="198" t="s">
        <v>878</v>
      </c>
      <c r="C24" s="198" t="s">
        <v>876</v>
      </c>
      <c r="D24" s="516" t="s">
        <v>876</v>
      </c>
      <c r="E24" s="249">
        <v>0.25</v>
      </c>
      <c r="F24" s="249">
        <v>0</v>
      </c>
      <c r="G24" s="249">
        <f>G30</f>
        <v>1.86</v>
      </c>
      <c r="H24" s="249">
        <v>0</v>
      </c>
      <c r="I24" s="249">
        <v>0</v>
      </c>
      <c r="J24" s="249">
        <v>0</v>
      </c>
      <c r="K24" s="249">
        <v>0</v>
      </c>
      <c r="L24" s="248">
        <f t="shared" ref="L24:AK24" si="4">L30+L59+L62+L71</f>
        <v>0</v>
      </c>
      <c r="M24" s="248">
        <f t="shared" si="4"/>
        <v>0</v>
      </c>
      <c r="N24" s="248">
        <f t="shared" si="4"/>
        <v>0</v>
      </c>
      <c r="O24" s="248">
        <f t="shared" si="4"/>
        <v>0</v>
      </c>
      <c r="P24" s="248">
        <f t="shared" si="4"/>
        <v>0</v>
      </c>
      <c r="Q24" s="248">
        <f t="shared" si="4"/>
        <v>0</v>
      </c>
      <c r="R24" s="248">
        <f t="shared" si="4"/>
        <v>0</v>
      </c>
      <c r="S24" s="248">
        <f t="shared" si="4"/>
        <v>0</v>
      </c>
      <c r="T24" s="248">
        <f t="shared" si="4"/>
        <v>0</v>
      </c>
      <c r="U24" s="248">
        <f t="shared" si="4"/>
        <v>0</v>
      </c>
      <c r="V24" s="248">
        <f t="shared" si="4"/>
        <v>0</v>
      </c>
      <c r="W24" s="248">
        <f t="shared" si="4"/>
        <v>0</v>
      </c>
      <c r="X24" s="248">
        <f t="shared" si="4"/>
        <v>0</v>
      </c>
      <c r="Y24" s="248">
        <f t="shared" si="4"/>
        <v>0</v>
      </c>
      <c r="Z24" s="248">
        <f t="shared" si="4"/>
        <v>0</v>
      </c>
      <c r="AA24" s="248">
        <f t="shared" si="4"/>
        <v>0</v>
      </c>
      <c r="AB24" s="248">
        <f t="shared" si="4"/>
        <v>0</v>
      </c>
      <c r="AC24" s="248">
        <f t="shared" si="4"/>
        <v>0</v>
      </c>
      <c r="AD24" s="248">
        <f t="shared" si="4"/>
        <v>0</v>
      </c>
      <c r="AE24" s="248">
        <f t="shared" si="4"/>
        <v>0</v>
      </c>
      <c r="AF24" s="248">
        <f t="shared" si="4"/>
        <v>0</v>
      </c>
      <c r="AG24" s="248">
        <f t="shared" si="4"/>
        <v>0</v>
      </c>
      <c r="AH24" s="248">
        <f t="shared" si="4"/>
        <v>0</v>
      </c>
      <c r="AI24" s="248">
        <f t="shared" si="4"/>
        <v>0</v>
      </c>
      <c r="AJ24" s="248">
        <f t="shared" si="4"/>
        <v>0</v>
      </c>
      <c r="AK24" s="248">
        <f t="shared" si="4"/>
        <v>0</v>
      </c>
      <c r="AL24" s="248">
        <f>AL30+AL59+AL62+AL71</f>
        <v>0</v>
      </c>
      <c r="AM24" s="248">
        <f>AM30+AM59+AM62+AM71</f>
        <v>0</v>
      </c>
      <c r="AN24" s="248">
        <f t="shared" ref="AN24:AN99" si="5">AU24+BB24+BI24+BP24</f>
        <v>0</v>
      </c>
      <c r="AO24" s="248">
        <f t="shared" ref="AO24:AO99" si="6">AV24+BC24+BJ24+BQ24</f>
        <v>0</v>
      </c>
      <c r="AP24" s="248">
        <f t="shared" ref="AP24:AP99" si="7">AW24+BD24+BK24+BR24</f>
        <v>4.4390000000000001</v>
      </c>
      <c r="AQ24" s="248">
        <f t="shared" ref="AQ24:AQ99" si="8">AX24+BE24+BL24+BS24</f>
        <v>0</v>
      </c>
      <c r="AR24" s="248">
        <f t="shared" ref="AR24:AR99" si="9">AY24+BF24+BM24+BT24</f>
        <v>0.33799999999999997</v>
      </c>
      <c r="AS24" s="248">
        <f t="shared" ref="AS24:AS99" si="10">AZ24+BG24+BN24+BU24</f>
        <v>0</v>
      </c>
      <c r="AT24" s="248">
        <f t="shared" ref="AT24:AT99" si="11">BA24+BH24+BO24+BV24</f>
        <v>0</v>
      </c>
      <c r="AU24" s="248">
        <f t="shared" ref="AU24:BV24" si="12">AU30+AU59+AU62+AU71</f>
        <v>0</v>
      </c>
      <c r="AV24" s="248">
        <f t="shared" si="12"/>
        <v>0</v>
      </c>
      <c r="AW24" s="248">
        <f t="shared" si="12"/>
        <v>0.3</v>
      </c>
      <c r="AX24" s="248">
        <f t="shared" si="12"/>
        <v>0</v>
      </c>
      <c r="AY24" s="248">
        <f t="shared" si="12"/>
        <v>0</v>
      </c>
      <c r="AZ24" s="248">
        <f t="shared" si="12"/>
        <v>0</v>
      </c>
      <c r="BA24" s="248">
        <f t="shared" si="12"/>
        <v>0</v>
      </c>
      <c r="BB24" s="248">
        <f>BB30+BB59+BB62+BB71</f>
        <v>0</v>
      </c>
      <c r="BC24" s="248">
        <f t="shared" si="12"/>
        <v>0</v>
      </c>
      <c r="BD24" s="248">
        <f t="shared" si="12"/>
        <v>1.28</v>
      </c>
      <c r="BE24" s="248">
        <f t="shared" si="12"/>
        <v>0</v>
      </c>
      <c r="BF24" s="248">
        <f t="shared" si="12"/>
        <v>0</v>
      </c>
      <c r="BG24" s="248">
        <f t="shared" si="12"/>
        <v>0</v>
      </c>
      <c r="BH24" s="248">
        <f t="shared" si="12"/>
        <v>0</v>
      </c>
      <c r="BI24" s="248">
        <f t="shared" si="12"/>
        <v>0</v>
      </c>
      <c r="BJ24" s="248">
        <f t="shared" si="12"/>
        <v>0</v>
      </c>
      <c r="BK24" s="248">
        <f t="shared" si="12"/>
        <v>0.32500000000000001</v>
      </c>
      <c r="BL24" s="248">
        <f t="shared" si="12"/>
        <v>0</v>
      </c>
      <c r="BM24" s="248">
        <f t="shared" si="12"/>
        <v>0</v>
      </c>
      <c r="BN24" s="248">
        <f t="shared" si="12"/>
        <v>0</v>
      </c>
      <c r="BO24" s="248">
        <f t="shared" si="12"/>
        <v>0</v>
      </c>
      <c r="BP24" s="248">
        <f t="shared" si="12"/>
        <v>0</v>
      </c>
      <c r="BQ24" s="248">
        <f t="shared" si="12"/>
        <v>0</v>
      </c>
      <c r="BR24" s="248">
        <f t="shared" si="12"/>
        <v>2.5339999999999998</v>
      </c>
      <c r="BS24" s="248">
        <f t="shared" si="12"/>
        <v>0</v>
      </c>
      <c r="BT24" s="248">
        <f t="shared" si="12"/>
        <v>0.33799999999999997</v>
      </c>
      <c r="BU24" s="248">
        <f t="shared" si="12"/>
        <v>0</v>
      </c>
      <c r="BV24" s="248">
        <f t="shared" si="12"/>
        <v>0</v>
      </c>
      <c r="BW24" s="248">
        <f t="shared" ref="BW24:BW99" si="13">E24-AN24</f>
        <v>0.25</v>
      </c>
      <c r="BX24" s="248">
        <f t="shared" ref="BX24:BX99" si="14">F24-AO24</f>
        <v>0</v>
      </c>
      <c r="BY24" s="248">
        <f t="shared" ref="BY24:BY99" si="15">G24-AP24</f>
        <v>-2.5789999999999997</v>
      </c>
      <c r="BZ24" s="248">
        <f t="shared" ref="BZ24:BZ99" si="16">H24-AQ24</f>
        <v>0</v>
      </c>
      <c r="CA24" s="248">
        <f t="shared" ref="CA24:CA99" si="17">I24-AR24</f>
        <v>-0.33799999999999997</v>
      </c>
      <c r="CB24" s="248">
        <f t="shared" ref="CB24:CB99" si="18">J24-AS24</f>
        <v>0</v>
      </c>
      <c r="CC24" s="248">
        <f t="shared" ref="CC24:CC99" si="19">K24-AT24</f>
        <v>0</v>
      </c>
      <c r="CD24" s="156">
        <f>'10'!T23</f>
        <v>0</v>
      </c>
    </row>
    <row r="25" spans="1:82" s="65" customFormat="1" ht="47.25">
      <c r="A25" s="236" t="s">
        <v>879</v>
      </c>
      <c r="B25" s="198" t="s">
        <v>880</v>
      </c>
      <c r="C25" s="198" t="s">
        <v>876</v>
      </c>
      <c r="D25" s="516" t="s">
        <v>876</v>
      </c>
      <c r="E25" s="249">
        <v>0</v>
      </c>
      <c r="F25" s="249">
        <v>0</v>
      </c>
      <c r="G25" s="249">
        <f>G80</f>
        <v>2.7749999999999999</v>
      </c>
      <c r="H25" s="249">
        <v>0</v>
      </c>
      <c r="I25" s="249">
        <v>0</v>
      </c>
      <c r="J25" s="249">
        <v>0</v>
      </c>
      <c r="K25" s="249">
        <v>0</v>
      </c>
      <c r="L25" s="248">
        <f t="shared" ref="L25:AK25" si="20">L74</f>
        <v>0</v>
      </c>
      <c r="M25" s="248">
        <f t="shared" si="20"/>
        <v>0</v>
      </c>
      <c r="N25" s="248">
        <f t="shared" si="20"/>
        <v>0</v>
      </c>
      <c r="O25" s="248">
        <f t="shared" si="20"/>
        <v>0</v>
      </c>
      <c r="P25" s="248">
        <f t="shared" si="20"/>
        <v>0</v>
      </c>
      <c r="Q25" s="248">
        <f t="shared" si="20"/>
        <v>0</v>
      </c>
      <c r="R25" s="248">
        <f t="shared" si="20"/>
        <v>0</v>
      </c>
      <c r="S25" s="248">
        <f t="shared" si="20"/>
        <v>0</v>
      </c>
      <c r="T25" s="248">
        <f t="shared" si="20"/>
        <v>0</v>
      </c>
      <c r="U25" s="248">
        <f t="shared" si="20"/>
        <v>0</v>
      </c>
      <c r="V25" s="248">
        <f t="shared" si="20"/>
        <v>0</v>
      </c>
      <c r="W25" s="248">
        <f t="shared" si="20"/>
        <v>0</v>
      </c>
      <c r="X25" s="248">
        <f t="shared" si="20"/>
        <v>0</v>
      </c>
      <c r="Y25" s="248">
        <f t="shared" si="20"/>
        <v>0</v>
      </c>
      <c r="Z25" s="248">
        <f t="shared" si="20"/>
        <v>0</v>
      </c>
      <c r="AA25" s="248">
        <f t="shared" si="20"/>
        <v>0</v>
      </c>
      <c r="AB25" s="248">
        <f t="shared" si="20"/>
        <v>0</v>
      </c>
      <c r="AC25" s="248">
        <f t="shared" si="20"/>
        <v>0</v>
      </c>
      <c r="AD25" s="248">
        <f t="shared" si="20"/>
        <v>0</v>
      </c>
      <c r="AE25" s="248">
        <f t="shared" si="20"/>
        <v>0</v>
      </c>
      <c r="AF25" s="248">
        <f t="shared" si="20"/>
        <v>0</v>
      </c>
      <c r="AG25" s="248">
        <f t="shared" si="20"/>
        <v>0</v>
      </c>
      <c r="AH25" s="248">
        <f t="shared" si="20"/>
        <v>0</v>
      </c>
      <c r="AI25" s="248">
        <f t="shared" si="20"/>
        <v>0</v>
      </c>
      <c r="AJ25" s="248">
        <f t="shared" si="20"/>
        <v>0</v>
      </c>
      <c r="AK25" s="248">
        <f t="shared" si="20"/>
        <v>0</v>
      </c>
      <c r="AL25" s="248">
        <f>AL74</f>
        <v>0</v>
      </c>
      <c r="AM25" s="248">
        <f>AM74</f>
        <v>0</v>
      </c>
      <c r="AN25" s="248">
        <f t="shared" si="5"/>
        <v>0</v>
      </c>
      <c r="AO25" s="248">
        <f t="shared" si="6"/>
        <v>0</v>
      </c>
      <c r="AP25" s="248">
        <f t="shared" si="7"/>
        <v>2.7749999999999999</v>
      </c>
      <c r="AQ25" s="248">
        <f t="shared" si="8"/>
        <v>0</v>
      </c>
      <c r="AR25" s="248">
        <f t="shared" si="9"/>
        <v>0</v>
      </c>
      <c r="AS25" s="248">
        <f t="shared" si="10"/>
        <v>0</v>
      </c>
      <c r="AT25" s="248">
        <f t="shared" si="11"/>
        <v>0</v>
      </c>
      <c r="AU25" s="248">
        <f t="shared" ref="AU25:BV25" si="21">AU74</f>
        <v>0</v>
      </c>
      <c r="AV25" s="248">
        <f t="shared" si="21"/>
        <v>0</v>
      </c>
      <c r="AW25" s="248">
        <f t="shared" si="21"/>
        <v>0</v>
      </c>
      <c r="AX25" s="248">
        <f t="shared" si="21"/>
        <v>0</v>
      </c>
      <c r="AY25" s="248">
        <f t="shared" si="21"/>
        <v>0</v>
      </c>
      <c r="AZ25" s="248">
        <f t="shared" si="21"/>
        <v>0</v>
      </c>
      <c r="BA25" s="248">
        <f t="shared" si="21"/>
        <v>0</v>
      </c>
      <c r="BB25" s="248">
        <f t="shared" si="21"/>
        <v>0</v>
      </c>
      <c r="BC25" s="248">
        <f t="shared" si="21"/>
        <v>0</v>
      </c>
      <c r="BD25" s="248">
        <f t="shared" si="21"/>
        <v>0</v>
      </c>
      <c r="BE25" s="248">
        <f t="shared" si="21"/>
        <v>0</v>
      </c>
      <c r="BF25" s="248">
        <f t="shared" si="21"/>
        <v>0</v>
      </c>
      <c r="BG25" s="248">
        <f t="shared" si="21"/>
        <v>0</v>
      </c>
      <c r="BH25" s="248">
        <f t="shared" si="21"/>
        <v>0</v>
      </c>
      <c r="BI25" s="248">
        <f t="shared" si="21"/>
        <v>0</v>
      </c>
      <c r="BJ25" s="248">
        <f t="shared" si="21"/>
        <v>0</v>
      </c>
      <c r="BK25" s="248">
        <f t="shared" si="21"/>
        <v>0</v>
      </c>
      <c r="BL25" s="248">
        <f t="shared" si="21"/>
        <v>0</v>
      </c>
      <c r="BM25" s="248">
        <f t="shared" si="21"/>
        <v>0</v>
      </c>
      <c r="BN25" s="248">
        <f t="shared" si="21"/>
        <v>0</v>
      </c>
      <c r="BO25" s="248">
        <f t="shared" si="21"/>
        <v>0</v>
      </c>
      <c r="BP25" s="248">
        <f t="shared" si="21"/>
        <v>0</v>
      </c>
      <c r="BQ25" s="248">
        <f t="shared" si="21"/>
        <v>0</v>
      </c>
      <c r="BR25" s="248">
        <f t="shared" si="21"/>
        <v>2.7749999999999999</v>
      </c>
      <c r="BS25" s="248">
        <f t="shared" si="21"/>
        <v>0</v>
      </c>
      <c r="BT25" s="248">
        <f t="shared" si="21"/>
        <v>0</v>
      </c>
      <c r="BU25" s="248">
        <f t="shared" si="21"/>
        <v>0</v>
      </c>
      <c r="BV25" s="248">
        <f t="shared" si="21"/>
        <v>0</v>
      </c>
      <c r="BW25" s="248">
        <f t="shared" si="13"/>
        <v>0</v>
      </c>
      <c r="BX25" s="248">
        <f t="shared" si="14"/>
        <v>0</v>
      </c>
      <c r="BY25" s="248">
        <f t="shared" si="15"/>
        <v>0</v>
      </c>
      <c r="BZ25" s="248">
        <f t="shared" si="16"/>
        <v>0</v>
      </c>
      <c r="CA25" s="248">
        <f t="shared" si="17"/>
        <v>0</v>
      </c>
      <c r="CB25" s="248">
        <f t="shared" si="18"/>
        <v>0</v>
      </c>
      <c r="CC25" s="248">
        <f t="shared" si="19"/>
        <v>0</v>
      </c>
      <c r="CD25" s="156">
        <f>'10'!T24</f>
        <v>0</v>
      </c>
    </row>
    <row r="26" spans="1:82" s="65" customFormat="1" ht="173.25">
      <c r="A26" s="236" t="s">
        <v>881</v>
      </c>
      <c r="B26" s="198" t="s">
        <v>882</v>
      </c>
      <c r="C26" s="198" t="s">
        <v>876</v>
      </c>
      <c r="D26" s="516" t="s">
        <v>876</v>
      </c>
      <c r="E26" s="249">
        <v>0</v>
      </c>
      <c r="F26" s="249">
        <v>0</v>
      </c>
      <c r="G26" s="249">
        <v>0</v>
      </c>
      <c r="H26" s="249">
        <v>0</v>
      </c>
      <c r="I26" s="249">
        <v>0</v>
      </c>
      <c r="J26" s="249">
        <v>0</v>
      </c>
      <c r="K26" s="249">
        <v>0</v>
      </c>
      <c r="L26" s="248">
        <f t="shared" ref="L26:AK26" si="22">L100</f>
        <v>0</v>
      </c>
      <c r="M26" s="248">
        <f t="shared" si="22"/>
        <v>0</v>
      </c>
      <c r="N26" s="248">
        <f t="shared" si="22"/>
        <v>0</v>
      </c>
      <c r="O26" s="248">
        <f t="shared" si="22"/>
        <v>0</v>
      </c>
      <c r="P26" s="248">
        <f t="shared" si="22"/>
        <v>0</v>
      </c>
      <c r="Q26" s="248">
        <f t="shared" si="22"/>
        <v>0</v>
      </c>
      <c r="R26" s="248">
        <f t="shared" si="22"/>
        <v>0</v>
      </c>
      <c r="S26" s="248">
        <f t="shared" si="22"/>
        <v>0</v>
      </c>
      <c r="T26" s="248">
        <f t="shared" si="22"/>
        <v>0</v>
      </c>
      <c r="U26" s="248">
        <f t="shared" si="22"/>
        <v>0</v>
      </c>
      <c r="V26" s="248">
        <f t="shared" si="22"/>
        <v>0</v>
      </c>
      <c r="W26" s="248">
        <f t="shared" si="22"/>
        <v>0</v>
      </c>
      <c r="X26" s="248">
        <f t="shared" si="22"/>
        <v>0</v>
      </c>
      <c r="Y26" s="248">
        <f t="shared" si="22"/>
        <v>0</v>
      </c>
      <c r="Z26" s="248">
        <f t="shared" si="22"/>
        <v>0</v>
      </c>
      <c r="AA26" s="248">
        <f t="shared" si="22"/>
        <v>0</v>
      </c>
      <c r="AB26" s="248">
        <f t="shared" si="22"/>
        <v>0</v>
      </c>
      <c r="AC26" s="248">
        <f t="shared" si="22"/>
        <v>0</v>
      </c>
      <c r="AD26" s="248">
        <f t="shared" si="22"/>
        <v>0</v>
      </c>
      <c r="AE26" s="248">
        <f t="shared" si="22"/>
        <v>0</v>
      </c>
      <c r="AF26" s="248">
        <f t="shared" si="22"/>
        <v>0</v>
      </c>
      <c r="AG26" s="248">
        <f t="shared" si="22"/>
        <v>0</v>
      </c>
      <c r="AH26" s="248">
        <f t="shared" si="22"/>
        <v>0</v>
      </c>
      <c r="AI26" s="248">
        <f t="shared" si="22"/>
        <v>0</v>
      </c>
      <c r="AJ26" s="248">
        <f t="shared" si="22"/>
        <v>0</v>
      </c>
      <c r="AK26" s="248">
        <f t="shared" si="22"/>
        <v>0</v>
      </c>
      <c r="AL26" s="248">
        <f>AL100</f>
        <v>0</v>
      </c>
      <c r="AM26" s="248">
        <f>AM100</f>
        <v>0</v>
      </c>
      <c r="AN26" s="248">
        <f t="shared" si="5"/>
        <v>0</v>
      </c>
      <c r="AO26" s="248">
        <f t="shared" si="6"/>
        <v>0</v>
      </c>
      <c r="AP26" s="248">
        <f t="shared" si="7"/>
        <v>0</v>
      </c>
      <c r="AQ26" s="248">
        <f t="shared" si="8"/>
        <v>0</v>
      </c>
      <c r="AR26" s="248">
        <f t="shared" si="9"/>
        <v>0</v>
      </c>
      <c r="AS26" s="248">
        <f t="shared" si="10"/>
        <v>0</v>
      </c>
      <c r="AT26" s="248">
        <f t="shared" si="11"/>
        <v>0</v>
      </c>
      <c r="AU26" s="248">
        <f t="shared" ref="AU26:BV26" si="23">AU100</f>
        <v>0</v>
      </c>
      <c r="AV26" s="248">
        <f t="shared" si="23"/>
        <v>0</v>
      </c>
      <c r="AW26" s="248">
        <f t="shared" si="23"/>
        <v>0</v>
      </c>
      <c r="AX26" s="248">
        <f t="shared" si="23"/>
        <v>0</v>
      </c>
      <c r="AY26" s="248">
        <f t="shared" si="23"/>
        <v>0</v>
      </c>
      <c r="AZ26" s="248">
        <f t="shared" si="23"/>
        <v>0</v>
      </c>
      <c r="BA26" s="248">
        <f t="shared" si="23"/>
        <v>0</v>
      </c>
      <c r="BB26" s="248">
        <f t="shared" si="23"/>
        <v>0</v>
      </c>
      <c r="BC26" s="248">
        <f t="shared" si="23"/>
        <v>0</v>
      </c>
      <c r="BD26" s="248">
        <f t="shared" si="23"/>
        <v>0</v>
      </c>
      <c r="BE26" s="248">
        <f t="shared" si="23"/>
        <v>0</v>
      </c>
      <c r="BF26" s="248">
        <f t="shared" si="23"/>
        <v>0</v>
      </c>
      <c r="BG26" s="248">
        <f t="shared" si="23"/>
        <v>0</v>
      </c>
      <c r="BH26" s="248">
        <f t="shared" si="23"/>
        <v>0</v>
      </c>
      <c r="BI26" s="248">
        <f t="shared" si="23"/>
        <v>0</v>
      </c>
      <c r="BJ26" s="248">
        <f t="shared" si="23"/>
        <v>0</v>
      </c>
      <c r="BK26" s="248">
        <f t="shared" si="23"/>
        <v>0</v>
      </c>
      <c r="BL26" s="248">
        <f t="shared" si="23"/>
        <v>0</v>
      </c>
      <c r="BM26" s="248">
        <f t="shared" si="23"/>
        <v>0</v>
      </c>
      <c r="BN26" s="248">
        <f t="shared" si="23"/>
        <v>0</v>
      </c>
      <c r="BO26" s="248">
        <f t="shared" si="23"/>
        <v>0</v>
      </c>
      <c r="BP26" s="248">
        <f t="shared" si="23"/>
        <v>0</v>
      </c>
      <c r="BQ26" s="248">
        <f t="shared" si="23"/>
        <v>0</v>
      </c>
      <c r="BR26" s="248">
        <f t="shared" si="23"/>
        <v>0</v>
      </c>
      <c r="BS26" s="248">
        <f t="shared" si="23"/>
        <v>0</v>
      </c>
      <c r="BT26" s="248">
        <f t="shared" si="23"/>
        <v>0</v>
      </c>
      <c r="BU26" s="248">
        <f t="shared" si="23"/>
        <v>0</v>
      </c>
      <c r="BV26" s="248">
        <f t="shared" si="23"/>
        <v>0</v>
      </c>
      <c r="BW26" s="248">
        <f t="shared" si="13"/>
        <v>0</v>
      </c>
      <c r="BX26" s="248">
        <f t="shared" si="14"/>
        <v>0</v>
      </c>
      <c r="BY26" s="248">
        <f t="shared" si="15"/>
        <v>0</v>
      </c>
      <c r="BZ26" s="248">
        <f t="shared" si="16"/>
        <v>0</v>
      </c>
      <c r="CA26" s="248">
        <f t="shared" si="17"/>
        <v>0</v>
      </c>
      <c r="CB26" s="248">
        <f t="shared" si="18"/>
        <v>0</v>
      </c>
      <c r="CC26" s="248">
        <f t="shared" si="19"/>
        <v>0</v>
      </c>
      <c r="CD26" s="156">
        <f>'10'!T25</f>
        <v>0</v>
      </c>
    </row>
    <row r="27" spans="1:82" s="65" customFormat="1" ht="63">
      <c r="A27" s="237" t="s">
        <v>883</v>
      </c>
      <c r="B27" s="238" t="s">
        <v>884</v>
      </c>
      <c r="C27" s="198" t="s">
        <v>876</v>
      </c>
      <c r="D27" s="516" t="s">
        <v>876</v>
      </c>
      <c r="E27" s="249">
        <v>0</v>
      </c>
      <c r="F27" s="249">
        <v>0</v>
      </c>
      <c r="G27" s="249">
        <v>0</v>
      </c>
      <c r="H27" s="249">
        <v>0</v>
      </c>
      <c r="I27" s="249">
        <v>0</v>
      </c>
      <c r="J27" s="249">
        <v>0</v>
      </c>
      <c r="K27" s="249">
        <v>0</v>
      </c>
      <c r="L27" s="248">
        <f t="shared" ref="L27:AA27" si="24">L103</f>
        <v>0</v>
      </c>
      <c r="M27" s="248">
        <f t="shared" si="24"/>
        <v>0</v>
      </c>
      <c r="N27" s="248">
        <f t="shared" si="24"/>
        <v>0</v>
      </c>
      <c r="O27" s="248">
        <f t="shared" si="24"/>
        <v>0</v>
      </c>
      <c r="P27" s="248">
        <f t="shared" si="24"/>
        <v>0</v>
      </c>
      <c r="Q27" s="248">
        <f t="shared" si="24"/>
        <v>0</v>
      </c>
      <c r="R27" s="248">
        <f t="shared" si="24"/>
        <v>0</v>
      </c>
      <c r="S27" s="248">
        <f t="shared" si="24"/>
        <v>0</v>
      </c>
      <c r="T27" s="248">
        <f t="shared" si="24"/>
        <v>0</v>
      </c>
      <c r="U27" s="248">
        <f t="shared" si="24"/>
        <v>0</v>
      </c>
      <c r="V27" s="248">
        <f t="shared" si="24"/>
        <v>0</v>
      </c>
      <c r="W27" s="248">
        <f t="shared" si="24"/>
        <v>0</v>
      </c>
      <c r="X27" s="248">
        <f t="shared" si="24"/>
        <v>0</v>
      </c>
      <c r="Y27" s="248">
        <f t="shared" si="24"/>
        <v>0</v>
      </c>
      <c r="Z27" s="248">
        <f t="shared" si="24"/>
        <v>0</v>
      </c>
      <c r="AA27" s="248">
        <f t="shared" si="24"/>
        <v>0</v>
      </c>
      <c r="AB27" s="248">
        <f t="shared" ref="AB27:AK27" si="25">AB103</f>
        <v>0</v>
      </c>
      <c r="AC27" s="248">
        <f t="shared" si="25"/>
        <v>0</v>
      </c>
      <c r="AD27" s="248">
        <f t="shared" si="25"/>
        <v>0</v>
      </c>
      <c r="AE27" s="248">
        <f t="shared" si="25"/>
        <v>0</v>
      </c>
      <c r="AF27" s="248">
        <f t="shared" si="25"/>
        <v>0</v>
      </c>
      <c r="AG27" s="248">
        <f t="shared" si="25"/>
        <v>0</v>
      </c>
      <c r="AH27" s="248">
        <f t="shared" si="25"/>
        <v>0</v>
      </c>
      <c r="AI27" s="248">
        <f t="shared" si="25"/>
        <v>0</v>
      </c>
      <c r="AJ27" s="248">
        <f t="shared" si="25"/>
        <v>0</v>
      </c>
      <c r="AK27" s="248">
        <f t="shared" si="25"/>
        <v>0</v>
      </c>
      <c r="AL27" s="248">
        <f>AL103</f>
        <v>0</v>
      </c>
      <c r="AM27" s="248">
        <f>AM103</f>
        <v>0</v>
      </c>
      <c r="AN27" s="248">
        <f t="shared" si="5"/>
        <v>0</v>
      </c>
      <c r="AO27" s="248">
        <f t="shared" si="6"/>
        <v>0</v>
      </c>
      <c r="AP27" s="248">
        <f t="shared" si="7"/>
        <v>0</v>
      </c>
      <c r="AQ27" s="248">
        <f t="shared" si="8"/>
        <v>0</v>
      </c>
      <c r="AR27" s="248">
        <f t="shared" si="9"/>
        <v>0</v>
      </c>
      <c r="AS27" s="248">
        <f t="shared" si="10"/>
        <v>0</v>
      </c>
      <c r="AT27" s="248">
        <f t="shared" si="11"/>
        <v>0</v>
      </c>
      <c r="AU27" s="248">
        <f t="shared" ref="AU27:BV27" si="26">AU103</f>
        <v>0</v>
      </c>
      <c r="AV27" s="248">
        <f t="shared" si="26"/>
        <v>0</v>
      </c>
      <c r="AW27" s="248">
        <f t="shared" si="26"/>
        <v>0</v>
      </c>
      <c r="AX27" s="248">
        <f t="shared" si="26"/>
        <v>0</v>
      </c>
      <c r="AY27" s="248">
        <f t="shared" si="26"/>
        <v>0</v>
      </c>
      <c r="AZ27" s="248">
        <f t="shared" si="26"/>
        <v>0</v>
      </c>
      <c r="BA27" s="248">
        <f t="shared" si="26"/>
        <v>0</v>
      </c>
      <c r="BB27" s="248">
        <f t="shared" si="26"/>
        <v>0</v>
      </c>
      <c r="BC27" s="248">
        <f t="shared" si="26"/>
        <v>0</v>
      </c>
      <c r="BD27" s="248">
        <f t="shared" si="26"/>
        <v>0</v>
      </c>
      <c r="BE27" s="248">
        <f t="shared" si="26"/>
        <v>0</v>
      </c>
      <c r="BF27" s="248">
        <f t="shared" si="26"/>
        <v>0</v>
      </c>
      <c r="BG27" s="248">
        <f t="shared" si="26"/>
        <v>0</v>
      </c>
      <c r="BH27" s="248">
        <f t="shared" si="26"/>
        <v>0</v>
      </c>
      <c r="BI27" s="248">
        <f t="shared" si="26"/>
        <v>0</v>
      </c>
      <c r="BJ27" s="248">
        <f t="shared" si="26"/>
        <v>0</v>
      </c>
      <c r="BK27" s="248">
        <f t="shared" si="26"/>
        <v>0</v>
      </c>
      <c r="BL27" s="248">
        <f t="shared" si="26"/>
        <v>0</v>
      </c>
      <c r="BM27" s="248">
        <f t="shared" si="26"/>
        <v>0</v>
      </c>
      <c r="BN27" s="248">
        <f t="shared" si="26"/>
        <v>0</v>
      </c>
      <c r="BO27" s="248">
        <f t="shared" si="26"/>
        <v>0</v>
      </c>
      <c r="BP27" s="248">
        <f t="shared" si="26"/>
        <v>0</v>
      </c>
      <c r="BQ27" s="248">
        <f t="shared" si="26"/>
        <v>0</v>
      </c>
      <c r="BR27" s="248">
        <f t="shared" si="26"/>
        <v>0</v>
      </c>
      <c r="BS27" s="248">
        <f t="shared" si="26"/>
        <v>0</v>
      </c>
      <c r="BT27" s="248">
        <f t="shared" si="26"/>
        <v>0</v>
      </c>
      <c r="BU27" s="248">
        <f t="shared" si="26"/>
        <v>0</v>
      </c>
      <c r="BV27" s="248">
        <f t="shared" si="26"/>
        <v>0</v>
      </c>
      <c r="BW27" s="248">
        <f t="shared" si="13"/>
        <v>0</v>
      </c>
      <c r="BX27" s="248">
        <f t="shared" si="14"/>
        <v>0</v>
      </c>
      <c r="BY27" s="248">
        <f t="shared" si="15"/>
        <v>0</v>
      </c>
      <c r="BZ27" s="248">
        <f t="shared" si="16"/>
        <v>0</v>
      </c>
      <c r="CA27" s="248">
        <f t="shared" si="17"/>
        <v>0</v>
      </c>
      <c r="CB27" s="248">
        <f t="shared" si="18"/>
        <v>0</v>
      </c>
      <c r="CC27" s="248">
        <f t="shared" si="19"/>
        <v>0</v>
      </c>
      <c r="CD27" s="156">
        <f>'10'!T26</f>
        <v>0</v>
      </c>
    </row>
    <row r="28" spans="1:82" s="65" customFormat="1" ht="78.75">
      <c r="A28" s="237" t="s">
        <v>885</v>
      </c>
      <c r="B28" s="238" t="s">
        <v>886</v>
      </c>
      <c r="C28" s="198" t="s">
        <v>876</v>
      </c>
      <c r="D28" s="516" t="s">
        <v>876</v>
      </c>
      <c r="E28" s="249">
        <v>0</v>
      </c>
      <c r="F28" s="249">
        <v>0</v>
      </c>
      <c r="G28" s="249">
        <v>0</v>
      </c>
      <c r="H28" s="249">
        <v>0</v>
      </c>
      <c r="I28" s="249">
        <v>0</v>
      </c>
      <c r="J28" s="249">
        <v>0</v>
      </c>
      <c r="K28" s="249">
        <v>0</v>
      </c>
      <c r="L28" s="248">
        <f t="shared" ref="L28:AK28" si="27">L106</f>
        <v>0</v>
      </c>
      <c r="M28" s="248">
        <f t="shared" si="27"/>
        <v>0</v>
      </c>
      <c r="N28" s="248">
        <f t="shared" si="27"/>
        <v>0</v>
      </c>
      <c r="O28" s="248">
        <f t="shared" si="27"/>
        <v>0</v>
      </c>
      <c r="P28" s="248">
        <f t="shared" si="27"/>
        <v>0</v>
      </c>
      <c r="Q28" s="248">
        <f t="shared" si="27"/>
        <v>0</v>
      </c>
      <c r="R28" s="248">
        <f t="shared" si="27"/>
        <v>0</v>
      </c>
      <c r="S28" s="248">
        <f t="shared" si="27"/>
        <v>0</v>
      </c>
      <c r="T28" s="248">
        <f t="shared" si="27"/>
        <v>0</v>
      </c>
      <c r="U28" s="248">
        <f t="shared" si="27"/>
        <v>0</v>
      </c>
      <c r="V28" s="248">
        <f t="shared" si="27"/>
        <v>0</v>
      </c>
      <c r="W28" s="248">
        <f t="shared" si="27"/>
        <v>0</v>
      </c>
      <c r="X28" s="248">
        <f t="shared" si="27"/>
        <v>0</v>
      </c>
      <c r="Y28" s="248">
        <f t="shared" si="27"/>
        <v>0</v>
      </c>
      <c r="Z28" s="248">
        <f t="shared" si="27"/>
        <v>0</v>
      </c>
      <c r="AA28" s="248">
        <f t="shared" si="27"/>
        <v>0</v>
      </c>
      <c r="AB28" s="248">
        <f t="shared" si="27"/>
        <v>0</v>
      </c>
      <c r="AC28" s="248">
        <f t="shared" si="27"/>
        <v>0</v>
      </c>
      <c r="AD28" s="248">
        <f t="shared" si="27"/>
        <v>0</v>
      </c>
      <c r="AE28" s="248">
        <f t="shared" si="27"/>
        <v>0</v>
      </c>
      <c r="AF28" s="248">
        <f t="shared" si="27"/>
        <v>0</v>
      </c>
      <c r="AG28" s="248">
        <f t="shared" si="27"/>
        <v>0</v>
      </c>
      <c r="AH28" s="248">
        <f t="shared" si="27"/>
        <v>0</v>
      </c>
      <c r="AI28" s="248">
        <f t="shared" si="27"/>
        <v>0</v>
      </c>
      <c r="AJ28" s="248">
        <f t="shared" si="27"/>
        <v>0</v>
      </c>
      <c r="AK28" s="248">
        <f t="shared" si="27"/>
        <v>0</v>
      </c>
      <c r="AL28" s="248">
        <f>AL106</f>
        <v>0</v>
      </c>
      <c r="AM28" s="248">
        <f>AM106</f>
        <v>0</v>
      </c>
      <c r="AN28" s="248">
        <f t="shared" si="5"/>
        <v>0</v>
      </c>
      <c r="AO28" s="248">
        <f t="shared" si="6"/>
        <v>0</v>
      </c>
      <c r="AP28" s="248">
        <f t="shared" si="7"/>
        <v>0</v>
      </c>
      <c r="AQ28" s="248">
        <f t="shared" si="8"/>
        <v>0</v>
      </c>
      <c r="AR28" s="248">
        <f t="shared" si="9"/>
        <v>0</v>
      </c>
      <c r="AS28" s="248">
        <f t="shared" si="10"/>
        <v>0</v>
      </c>
      <c r="AT28" s="248">
        <f t="shared" si="11"/>
        <v>0</v>
      </c>
      <c r="AU28" s="248">
        <f t="shared" ref="AU28:BV28" si="28">AU106</f>
        <v>0</v>
      </c>
      <c r="AV28" s="248">
        <f t="shared" si="28"/>
        <v>0</v>
      </c>
      <c r="AW28" s="248">
        <f t="shared" si="28"/>
        <v>0</v>
      </c>
      <c r="AX28" s="248">
        <f t="shared" si="28"/>
        <v>0</v>
      </c>
      <c r="AY28" s="248">
        <f t="shared" si="28"/>
        <v>0</v>
      </c>
      <c r="AZ28" s="248">
        <f t="shared" si="28"/>
        <v>0</v>
      </c>
      <c r="BA28" s="248">
        <f t="shared" si="28"/>
        <v>0</v>
      </c>
      <c r="BB28" s="248">
        <f t="shared" si="28"/>
        <v>0</v>
      </c>
      <c r="BC28" s="248">
        <f t="shared" si="28"/>
        <v>0</v>
      </c>
      <c r="BD28" s="248">
        <f t="shared" si="28"/>
        <v>0</v>
      </c>
      <c r="BE28" s="248">
        <f t="shared" si="28"/>
        <v>0</v>
      </c>
      <c r="BF28" s="248">
        <f t="shared" si="28"/>
        <v>0</v>
      </c>
      <c r="BG28" s="248">
        <f t="shared" si="28"/>
        <v>0</v>
      </c>
      <c r="BH28" s="248">
        <f t="shared" si="28"/>
        <v>0</v>
      </c>
      <c r="BI28" s="248">
        <f t="shared" si="28"/>
        <v>0</v>
      </c>
      <c r="BJ28" s="248">
        <f t="shared" si="28"/>
        <v>0</v>
      </c>
      <c r="BK28" s="248">
        <f t="shared" si="28"/>
        <v>0</v>
      </c>
      <c r="BL28" s="248">
        <f t="shared" si="28"/>
        <v>0</v>
      </c>
      <c r="BM28" s="248">
        <f t="shared" si="28"/>
        <v>0</v>
      </c>
      <c r="BN28" s="248">
        <f t="shared" si="28"/>
        <v>0</v>
      </c>
      <c r="BO28" s="248">
        <f t="shared" si="28"/>
        <v>0</v>
      </c>
      <c r="BP28" s="248">
        <f t="shared" si="28"/>
        <v>0</v>
      </c>
      <c r="BQ28" s="248">
        <f t="shared" si="28"/>
        <v>0</v>
      </c>
      <c r="BR28" s="248">
        <f t="shared" si="28"/>
        <v>0</v>
      </c>
      <c r="BS28" s="248">
        <f t="shared" si="28"/>
        <v>0</v>
      </c>
      <c r="BT28" s="248">
        <f t="shared" si="28"/>
        <v>0</v>
      </c>
      <c r="BU28" s="248">
        <f t="shared" si="28"/>
        <v>0</v>
      </c>
      <c r="BV28" s="248">
        <f t="shared" si="28"/>
        <v>0</v>
      </c>
      <c r="BW28" s="248">
        <f t="shared" si="13"/>
        <v>0</v>
      </c>
      <c r="BX28" s="248">
        <f t="shared" si="14"/>
        <v>0</v>
      </c>
      <c r="BY28" s="248">
        <f t="shared" si="15"/>
        <v>0</v>
      </c>
      <c r="BZ28" s="248">
        <f t="shared" si="16"/>
        <v>0</v>
      </c>
      <c r="CA28" s="248">
        <f t="shared" si="17"/>
        <v>0</v>
      </c>
      <c r="CB28" s="248">
        <f t="shared" si="18"/>
        <v>0</v>
      </c>
      <c r="CC28" s="248">
        <f t="shared" si="19"/>
        <v>0</v>
      </c>
      <c r="CD28" s="156">
        <f>'10'!T27</f>
        <v>0</v>
      </c>
    </row>
    <row r="29" spans="1:82" s="65" customFormat="1" ht="31.5">
      <c r="A29" s="237" t="s">
        <v>887</v>
      </c>
      <c r="B29" s="238" t="s">
        <v>888</v>
      </c>
      <c r="C29" s="198" t="s">
        <v>876</v>
      </c>
      <c r="D29" s="516" t="s">
        <v>876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8">
        <f t="shared" ref="L29:AK29" si="29">L107</f>
        <v>0</v>
      </c>
      <c r="M29" s="248">
        <f t="shared" si="29"/>
        <v>0</v>
      </c>
      <c r="N29" s="248">
        <f t="shared" si="29"/>
        <v>0</v>
      </c>
      <c r="O29" s="248">
        <f t="shared" si="29"/>
        <v>0</v>
      </c>
      <c r="P29" s="248">
        <f t="shared" si="29"/>
        <v>0</v>
      </c>
      <c r="Q29" s="248">
        <f t="shared" si="29"/>
        <v>0</v>
      </c>
      <c r="R29" s="248">
        <f t="shared" si="29"/>
        <v>0</v>
      </c>
      <c r="S29" s="248">
        <f t="shared" si="29"/>
        <v>0</v>
      </c>
      <c r="T29" s="248">
        <f t="shared" si="29"/>
        <v>0</v>
      </c>
      <c r="U29" s="248">
        <f t="shared" si="29"/>
        <v>0</v>
      </c>
      <c r="V29" s="248">
        <f t="shared" si="29"/>
        <v>0</v>
      </c>
      <c r="W29" s="248">
        <f t="shared" si="29"/>
        <v>0</v>
      </c>
      <c r="X29" s="248">
        <f t="shared" si="29"/>
        <v>0</v>
      </c>
      <c r="Y29" s="248">
        <f t="shared" si="29"/>
        <v>0</v>
      </c>
      <c r="Z29" s="248">
        <f t="shared" si="29"/>
        <v>0</v>
      </c>
      <c r="AA29" s="248">
        <f t="shared" si="29"/>
        <v>0</v>
      </c>
      <c r="AB29" s="248">
        <f t="shared" si="29"/>
        <v>0</v>
      </c>
      <c r="AC29" s="248">
        <f t="shared" si="29"/>
        <v>0</v>
      </c>
      <c r="AD29" s="248">
        <f t="shared" si="29"/>
        <v>0</v>
      </c>
      <c r="AE29" s="248">
        <f t="shared" si="29"/>
        <v>0</v>
      </c>
      <c r="AF29" s="248">
        <f t="shared" si="29"/>
        <v>0</v>
      </c>
      <c r="AG29" s="248">
        <f t="shared" si="29"/>
        <v>0</v>
      </c>
      <c r="AH29" s="248">
        <f t="shared" si="29"/>
        <v>0</v>
      </c>
      <c r="AI29" s="248">
        <f t="shared" si="29"/>
        <v>0</v>
      </c>
      <c r="AJ29" s="248">
        <f t="shared" si="29"/>
        <v>0</v>
      </c>
      <c r="AK29" s="248">
        <f t="shared" si="29"/>
        <v>0</v>
      </c>
      <c r="AL29" s="248">
        <f>AL107</f>
        <v>0</v>
      </c>
      <c r="AM29" s="248">
        <f>AM107</f>
        <v>0</v>
      </c>
      <c r="AN29" s="248">
        <f t="shared" si="5"/>
        <v>0</v>
      </c>
      <c r="AO29" s="248">
        <f t="shared" si="6"/>
        <v>0</v>
      </c>
      <c r="AP29" s="248">
        <f t="shared" si="7"/>
        <v>0</v>
      </c>
      <c r="AQ29" s="248">
        <f t="shared" si="8"/>
        <v>0</v>
      </c>
      <c r="AR29" s="248">
        <f t="shared" si="9"/>
        <v>0</v>
      </c>
      <c r="AS29" s="248">
        <f t="shared" si="10"/>
        <v>0</v>
      </c>
      <c r="AT29" s="248">
        <f t="shared" si="11"/>
        <v>0</v>
      </c>
      <c r="AU29" s="248">
        <f t="shared" ref="AU29:BV29" si="30">AU107</f>
        <v>0</v>
      </c>
      <c r="AV29" s="248">
        <f t="shared" si="30"/>
        <v>0</v>
      </c>
      <c r="AW29" s="248">
        <f t="shared" si="30"/>
        <v>0</v>
      </c>
      <c r="AX29" s="248">
        <f t="shared" si="30"/>
        <v>0</v>
      </c>
      <c r="AY29" s="248">
        <f t="shared" si="30"/>
        <v>0</v>
      </c>
      <c r="AZ29" s="248">
        <f t="shared" si="30"/>
        <v>0</v>
      </c>
      <c r="BA29" s="248">
        <f t="shared" si="30"/>
        <v>0</v>
      </c>
      <c r="BB29" s="248">
        <f t="shared" si="30"/>
        <v>0</v>
      </c>
      <c r="BC29" s="248">
        <f t="shared" si="30"/>
        <v>0</v>
      </c>
      <c r="BD29" s="248">
        <f t="shared" si="30"/>
        <v>0</v>
      </c>
      <c r="BE29" s="248">
        <f t="shared" si="30"/>
        <v>0</v>
      </c>
      <c r="BF29" s="248">
        <f t="shared" si="30"/>
        <v>0</v>
      </c>
      <c r="BG29" s="248">
        <f t="shared" si="30"/>
        <v>0</v>
      </c>
      <c r="BH29" s="248">
        <f t="shared" si="30"/>
        <v>0</v>
      </c>
      <c r="BI29" s="248">
        <f t="shared" si="30"/>
        <v>0</v>
      </c>
      <c r="BJ29" s="248">
        <f t="shared" si="30"/>
        <v>0</v>
      </c>
      <c r="BK29" s="248">
        <f t="shared" si="30"/>
        <v>0</v>
      </c>
      <c r="BL29" s="248">
        <f t="shared" si="30"/>
        <v>0</v>
      </c>
      <c r="BM29" s="248">
        <f t="shared" si="30"/>
        <v>0</v>
      </c>
      <c r="BN29" s="248">
        <f t="shared" si="30"/>
        <v>0</v>
      </c>
      <c r="BO29" s="248">
        <f t="shared" si="30"/>
        <v>0</v>
      </c>
      <c r="BP29" s="248">
        <f t="shared" si="30"/>
        <v>0</v>
      </c>
      <c r="BQ29" s="248">
        <f t="shared" si="30"/>
        <v>0</v>
      </c>
      <c r="BR29" s="248">
        <f t="shared" si="30"/>
        <v>0</v>
      </c>
      <c r="BS29" s="248">
        <f t="shared" si="30"/>
        <v>0</v>
      </c>
      <c r="BT29" s="248">
        <f t="shared" si="30"/>
        <v>0</v>
      </c>
      <c r="BU29" s="248">
        <f t="shared" si="30"/>
        <v>0</v>
      </c>
      <c r="BV29" s="248">
        <f t="shared" si="30"/>
        <v>0</v>
      </c>
      <c r="BW29" s="248">
        <f t="shared" si="13"/>
        <v>0</v>
      </c>
      <c r="BX29" s="248">
        <f t="shared" si="14"/>
        <v>0</v>
      </c>
      <c r="BY29" s="248">
        <f t="shared" si="15"/>
        <v>0</v>
      </c>
      <c r="BZ29" s="248">
        <f t="shared" si="16"/>
        <v>0</v>
      </c>
      <c r="CA29" s="248">
        <f t="shared" si="17"/>
        <v>0</v>
      </c>
      <c r="CB29" s="248">
        <f t="shared" si="18"/>
        <v>0</v>
      </c>
      <c r="CC29" s="248">
        <f t="shared" si="19"/>
        <v>0</v>
      </c>
      <c r="CD29" s="156">
        <f>'10'!T28</f>
        <v>0</v>
      </c>
    </row>
    <row r="30" spans="1:82" s="65" customFormat="1" ht="78.75">
      <c r="A30" s="239" t="s">
        <v>743</v>
      </c>
      <c r="B30" s="238" t="s">
        <v>889</v>
      </c>
      <c r="C30" s="198" t="s">
        <v>876</v>
      </c>
      <c r="D30" s="516" t="s">
        <v>876</v>
      </c>
      <c r="E30" s="249">
        <v>0.25</v>
      </c>
      <c r="F30" s="249">
        <v>0</v>
      </c>
      <c r="G30" s="249">
        <f>G31+G33+G34+G35</f>
        <v>1.86</v>
      </c>
      <c r="H30" s="249">
        <v>0</v>
      </c>
      <c r="I30" s="249">
        <v>0</v>
      </c>
      <c r="J30" s="249">
        <v>0</v>
      </c>
      <c r="K30" s="249">
        <v>0</v>
      </c>
      <c r="L30" s="248">
        <f t="shared" ref="L30:AM30" si="31">L31+L51+L58</f>
        <v>0</v>
      </c>
      <c r="M30" s="248">
        <f t="shared" si="31"/>
        <v>0</v>
      </c>
      <c r="N30" s="248">
        <f t="shared" si="31"/>
        <v>0</v>
      </c>
      <c r="O30" s="248">
        <f t="shared" si="31"/>
        <v>0</v>
      </c>
      <c r="P30" s="248">
        <f t="shared" si="31"/>
        <v>0</v>
      </c>
      <c r="Q30" s="248">
        <f t="shared" si="31"/>
        <v>0</v>
      </c>
      <c r="R30" s="248">
        <f t="shared" si="31"/>
        <v>0</v>
      </c>
      <c r="S30" s="248">
        <f t="shared" si="31"/>
        <v>0</v>
      </c>
      <c r="T30" s="248">
        <f t="shared" si="31"/>
        <v>0</v>
      </c>
      <c r="U30" s="248">
        <f t="shared" si="31"/>
        <v>0</v>
      </c>
      <c r="V30" s="248">
        <f t="shared" si="31"/>
        <v>0</v>
      </c>
      <c r="W30" s="248">
        <f t="shared" si="31"/>
        <v>0</v>
      </c>
      <c r="X30" s="248">
        <f t="shared" si="31"/>
        <v>0</v>
      </c>
      <c r="Y30" s="248">
        <f t="shared" si="31"/>
        <v>0</v>
      </c>
      <c r="Z30" s="248">
        <f t="shared" si="31"/>
        <v>0</v>
      </c>
      <c r="AA30" s="248">
        <f t="shared" si="31"/>
        <v>0</v>
      </c>
      <c r="AB30" s="248">
        <f t="shared" si="31"/>
        <v>0</v>
      </c>
      <c r="AC30" s="248">
        <f t="shared" si="31"/>
        <v>0</v>
      </c>
      <c r="AD30" s="248">
        <f t="shared" si="31"/>
        <v>0</v>
      </c>
      <c r="AE30" s="248">
        <f t="shared" si="31"/>
        <v>0</v>
      </c>
      <c r="AF30" s="248">
        <f t="shared" si="31"/>
        <v>0</v>
      </c>
      <c r="AG30" s="248">
        <f t="shared" si="31"/>
        <v>0</v>
      </c>
      <c r="AH30" s="248">
        <f t="shared" si="31"/>
        <v>0</v>
      </c>
      <c r="AI30" s="248">
        <f t="shared" si="31"/>
        <v>0</v>
      </c>
      <c r="AJ30" s="248">
        <f t="shared" si="31"/>
        <v>0</v>
      </c>
      <c r="AK30" s="248">
        <f t="shared" si="31"/>
        <v>0</v>
      </c>
      <c r="AL30" s="248">
        <f t="shared" si="31"/>
        <v>0</v>
      </c>
      <c r="AM30" s="248">
        <f t="shared" si="31"/>
        <v>0</v>
      </c>
      <c r="AN30" s="248">
        <f t="shared" si="5"/>
        <v>0</v>
      </c>
      <c r="AO30" s="248">
        <f t="shared" si="6"/>
        <v>0</v>
      </c>
      <c r="AP30" s="248">
        <f t="shared" si="7"/>
        <v>4.4390000000000001</v>
      </c>
      <c r="AQ30" s="248">
        <f t="shared" si="8"/>
        <v>0</v>
      </c>
      <c r="AR30" s="248">
        <f t="shared" si="9"/>
        <v>0.33799999999999997</v>
      </c>
      <c r="AS30" s="248">
        <f t="shared" si="10"/>
        <v>0</v>
      </c>
      <c r="AT30" s="248">
        <f t="shared" si="11"/>
        <v>0</v>
      </c>
      <c r="AU30" s="248">
        <f t="shared" ref="AU30:BV30" si="32">AU31+AU51+AU58</f>
        <v>0</v>
      </c>
      <c r="AV30" s="248">
        <f t="shared" si="32"/>
        <v>0</v>
      </c>
      <c r="AW30" s="248">
        <f t="shared" si="32"/>
        <v>0.3</v>
      </c>
      <c r="AX30" s="248">
        <f t="shared" si="32"/>
        <v>0</v>
      </c>
      <c r="AY30" s="248">
        <f t="shared" si="32"/>
        <v>0</v>
      </c>
      <c r="AZ30" s="248">
        <f t="shared" si="32"/>
        <v>0</v>
      </c>
      <c r="BA30" s="248">
        <f t="shared" si="32"/>
        <v>0</v>
      </c>
      <c r="BB30" s="248">
        <f t="shared" si="32"/>
        <v>0</v>
      </c>
      <c r="BC30" s="248">
        <f t="shared" si="32"/>
        <v>0</v>
      </c>
      <c r="BD30" s="248">
        <f t="shared" si="32"/>
        <v>1.28</v>
      </c>
      <c r="BE30" s="248">
        <f t="shared" si="32"/>
        <v>0</v>
      </c>
      <c r="BF30" s="248">
        <f t="shared" si="32"/>
        <v>0</v>
      </c>
      <c r="BG30" s="248">
        <f t="shared" si="32"/>
        <v>0</v>
      </c>
      <c r="BH30" s="248">
        <f t="shared" si="32"/>
        <v>0</v>
      </c>
      <c r="BI30" s="248">
        <f t="shared" si="32"/>
        <v>0</v>
      </c>
      <c r="BJ30" s="248">
        <f t="shared" si="32"/>
        <v>0</v>
      </c>
      <c r="BK30" s="248">
        <f t="shared" si="32"/>
        <v>0.32500000000000001</v>
      </c>
      <c r="BL30" s="248">
        <f t="shared" si="32"/>
        <v>0</v>
      </c>
      <c r="BM30" s="248">
        <f t="shared" si="32"/>
        <v>0</v>
      </c>
      <c r="BN30" s="248">
        <f t="shared" si="32"/>
        <v>0</v>
      </c>
      <c r="BO30" s="248">
        <f t="shared" si="32"/>
        <v>0</v>
      </c>
      <c r="BP30" s="248">
        <f t="shared" si="32"/>
        <v>0</v>
      </c>
      <c r="BQ30" s="248">
        <f t="shared" si="32"/>
        <v>0</v>
      </c>
      <c r="BR30" s="248">
        <f t="shared" si="32"/>
        <v>2.5339999999999998</v>
      </c>
      <c r="BS30" s="248">
        <f t="shared" si="32"/>
        <v>0</v>
      </c>
      <c r="BT30" s="248">
        <f t="shared" si="32"/>
        <v>0.33799999999999997</v>
      </c>
      <c r="BU30" s="248">
        <f t="shared" si="32"/>
        <v>0</v>
      </c>
      <c r="BV30" s="248">
        <f t="shared" si="32"/>
        <v>0</v>
      </c>
      <c r="BW30" s="248">
        <f t="shared" si="13"/>
        <v>0.25</v>
      </c>
      <c r="BX30" s="248">
        <f t="shared" si="14"/>
        <v>0</v>
      </c>
      <c r="BY30" s="248">
        <f t="shared" si="15"/>
        <v>-2.5789999999999997</v>
      </c>
      <c r="BZ30" s="248">
        <f t="shared" si="16"/>
        <v>0</v>
      </c>
      <c r="CA30" s="248">
        <f t="shared" si="17"/>
        <v>-0.33799999999999997</v>
      </c>
      <c r="CB30" s="248">
        <f t="shared" si="18"/>
        <v>0</v>
      </c>
      <c r="CC30" s="248">
        <f t="shared" si="19"/>
        <v>0</v>
      </c>
      <c r="CD30" s="156">
        <f>'10'!T29</f>
        <v>0</v>
      </c>
    </row>
    <row r="31" spans="1:82" s="65" customFormat="1" ht="110.25">
      <c r="A31" s="237" t="s">
        <v>387</v>
      </c>
      <c r="B31" s="238" t="s">
        <v>890</v>
      </c>
      <c r="C31" s="198" t="s">
        <v>876</v>
      </c>
      <c r="D31" s="516" t="s">
        <v>876</v>
      </c>
      <c r="E31" s="529">
        <v>0.25</v>
      </c>
      <c r="F31" s="529">
        <v>0</v>
      </c>
      <c r="G31" s="529">
        <v>1.5</v>
      </c>
      <c r="H31" s="529">
        <v>0</v>
      </c>
      <c r="I31" s="529">
        <v>0</v>
      </c>
      <c r="J31" s="529">
        <v>0</v>
      </c>
      <c r="K31" s="529">
        <v>0</v>
      </c>
      <c r="L31" s="248">
        <f t="shared" ref="L31:AM31" si="33">L32</f>
        <v>0</v>
      </c>
      <c r="M31" s="248">
        <f t="shared" si="33"/>
        <v>0</v>
      </c>
      <c r="N31" s="248">
        <f t="shared" si="33"/>
        <v>0</v>
      </c>
      <c r="O31" s="248">
        <f t="shared" si="33"/>
        <v>0</v>
      </c>
      <c r="P31" s="248">
        <f t="shared" si="33"/>
        <v>0</v>
      </c>
      <c r="Q31" s="248">
        <f t="shared" si="33"/>
        <v>0</v>
      </c>
      <c r="R31" s="248">
        <f t="shared" si="33"/>
        <v>0</v>
      </c>
      <c r="S31" s="248">
        <f t="shared" si="33"/>
        <v>0</v>
      </c>
      <c r="T31" s="248">
        <f t="shared" si="33"/>
        <v>0</v>
      </c>
      <c r="U31" s="248">
        <f t="shared" si="33"/>
        <v>0</v>
      </c>
      <c r="V31" s="248">
        <f t="shared" si="33"/>
        <v>0</v>
      </c>
      <c r="W31" s="248">
        <f t="shared" si="33"/>
        <v>0</v>
      </c>
      <c r="X31" s="248">
        <f t="shared" si="33"/>
        <v>0</v>
      </c>
      <c r="Y31" s="248">
        <f t="shared" si="33"/>
        <v>0</v>
      </c>
      <c r="Z31" s="248">
        <f t="shared" si="33"/>
        <v>0</v>
      </c>
      <c r="AA31" s="248">
        <f t="shared" si="33"/>
        <v>0</v>
      </c>
      <c r="AB31" s="248">
        <f t="shared" si="33"/>
        <v>0</v>
      </c>
      <c r="AC31" s="248">
        <f t="shared" si="33"/>
        <v>0</v>
      </c>
      <c r="AD31" s="248">
        <f t="shared" si="33"/>
        <v>0</v>
      </c>
      <c r="AE31" s="248">
        <f t="shared" si="33"/>
        <v>0</v>
      </c>
      <c r="AF31" s="248">
        <f t="shared" si="33"/>
        <v>0</v>
      </c>
      <c r="AG31" s="248">
        <f t="shared" si="33"/>
        <v>0</v>
      </c>
      <c r="AH31" s="248">
        <f t="shared" si="33"/>
        <v>0</v>
      </c>
      <c r="AI31" s="248">
        <f t="shared" si="33"/>
        <v>0</v>
      </c>
      <c r="AJ31" s="248">
        <f t="shared" si="33"/>
        <v>0</v>
      </c>
      <c r="AK31" s="248">
        <f t="shared" si="33"/>
        <v>0</v>
      </c>
      <c r="AL31" s="248">
        <f t="shared" si="33"/>
        <v>0</v>
      </c>
      <c r="AM31" s="248">
        <f t="shared" si="33"/>
        <v>0</v>
      </c>
      <c r="AN31" s="248">
        <f t="shared" si="5"/>
        <v>0</v>
      </c>
      <c r="AO31" s="248">
        <f t="shared" si="6"/>
        <v>0</v>
      </c>
      <c r="AP31" s="248">
        <f t="shared" si="7"/>
        <v>3.1290000000000004</v>
      </c>
      <c r="AQ31" s="248">
        <f t="shared" si="8"/>
        <v>0</v>
      </c>
      <c r="AR31" s="248">
        <f t="shared" si="9"/>
        <v>0</v>
      </c>
      <c r="AS31" s="248">
        <f t="shared" si="10"/>
        <v>0</v>
      </c>
      <c r="AT31" s="248">
        <f t="shared" si="11"/>
        <v>0</v>
      </c>
      <c r="AU31" s="248">
        <f t="shared" ref="AU31:BV31" si="34">AU32</f>
        <v>0</v>
      </c>
      <c r="AV31" s="248">
        <f t="shared" si="34"/>
        <v>0</v>
      </c>
      <c r="AW31" s="248">
        <f t="shared" si="34"/>
        <v>0.3</v>
      </c>
      <c r="AX31" s="248">
        <f t="shared" si="34"/>
        <v>0</v>
      </c>
      <c r="AY31" s="248">
        <f t="shared" si="34"/>
        <v>0</v>
      </c>
      <c r="AZ31" s="248">
        <f t="shared" si="34"/>
        <v>0</v>
      </c>
      <c r="BA31" s="248">
        <f t="shared" si="34"/>
        <v>0</v>
      </c>
      <c r="BB31" s="248">
        <f t="shared" si="34"/>
        <v>0</v>
      </c>
      <c r="BC31" s="248">
        <f t="shared" si="34"/>
        <v>0</v>
      </c>
      <c r="BD31" s="248">
        <f t="shared" si="34"/>
        <v>1.1950000000000001</v>
      </c>
      <c r="BE31" s="248">
        <f t="shared" si="34"/>
        <v>0</v>
      </c>
      <c r="BF31" s="248">
        <f t="shared" si="34"/>
        <v>0</v>
      </c>
      <c r="BG31" s="248">
        <f t="shared" si="34"/>
        <v>0</v>
      </c>
      <c r="BH31" s="248">
        <f t="shared" si="34"/>
        <v>0</v>
      </c>
      <c r="BI31" s="248">
        <f t="shared" si="34"/>
        <v>0</v>
      </c>
      <c r="BJ31" s="248">
        <f t="shared" si="34"/>
        <v>0</v>
      </c>
      <c r="BK31" s="248">
        <f t="shared" si="34"/>
        <v>8.4999999999999992E-2</v>
      </c>
      <c r="BL31" s="248">
        <f t="shared" si="34"/>
        <v>0</v>
      </c>
      <c r="BM31" s="248">
        <f t="shared" si="34"/>
        <v>0</v>
      </c>
      <c r="BN31" s="248">
        <f t="shared" si="34"/>
        <v>0</v>
      </c>
      <c r="BO31" s="248">
        <f t="shared" si="34"/>
        <v>0</v>
      </c>
      <c r="BP31" s="248">
        <f t="shared" si="34"/>
        <v>0</v>
      </c>
      <c r="BQ31" s="248">
        <f t="shared" si="34"/>
        <v>0</v>
      </c>
      <c r="BR31" s="248">
        <f t="shared" si="34"/>
        <v>1.5490000000000002</v>
      </c>
      <c r="BS31" s="248">
        <f t="shared" si="34"/>
        <v>0</v>
      </c>
      <c r="BT31" s="248">
        <f t="shared" si="34"/>
        <v>0</v>
      </c>
      <c r="BU31" s="248">
        <f t="shared" si="34"/>
        <v>0</v>
      </c>
      <c r="BV31" s="248">
        <f t="shared" si="34"/>
        <v>0</v>
      </c>
      <c r="BW31" s="248">
        <f t="shared" si="13"/>
        <v>0.25</v>
      </c>
      <c r="BX31" s="248">
        <f t="shared" si="14"/>
        <v>0</v>
      </c>
      <c r="BY31" s="248">
        <f t="shared" si="15"/>
        <v>-1.6290000000000004</v>
      </c>
      <c r="BZ31" s="248">
        <f t="shared" si="16"/>
        <v>0</v>
      </c>
      <c r="CA31" s="248">
        <f t="shared" si="17"/>
        <v>0</v>
      </c>
      <c r="CB31" s="248">
        <f t="shared" si="18"/>
        <v>0</v>
      </c>
      <c r="CC31" s="248">
        <f t="shared" si="19"/>
        <v>0</v>
      </c>
      <c r="CD31" s="156">
        <f>'10'!T30</f>
        <v>0</v>
      </c>
    </row>
    <row r="32" spans="1:82" s="65" customFormat="1" ht="252">
      <c r="A32" s="240" t="s">
        <v>389</v>
      </c>
      <c r="B32" s="241" t="s">
        <v>891</v>
      </c>
      <c r="C32" s="204" t="s">
        <v>892</v>
      </c>
      <c r="D32" s="163" t="s">
        <v>876</v>
      </c>
      <c r="E32" s="252">
        <v>0.25</v>
      </c>
      <c r="F32" s="252">
        <v>0</v>
      </c>
      <c r="G32" s="252">
        <v>1.5</v>
      </c>
      <c r="H32" s="252">
        <v>0</v>
      </c>
      <c r="I32" s="252">
        <v>0</v>
      </c>
      <c r="J32" s="252">
        <v>0</v>
      </c>
      <c r="K32" s="252">
        <v>0</v>
      </c>
      <c r="L32" s="250">
        <f t="shared" ref="L32:M32" si="35">SUM(L36:L50)</f>
        <v>0</v>
      </c>
      <c r="M32" s="250">
        <f t="shared" si="35"/>
        <v>0</v>
      </c>
      <c r="N32" s="250">
        <f>SUM(N36:N50)</f>
        <v>0</v>
      </c>
      <c r="O32" s="250">
        <f t="shared" ref="O32:AM32" si="36">SUM(O36:O50)</f>
        <v>0</v>
      </c>
      <c r="P32" s="250">
        <f t="shared" si="36"/>
        <v>0</v>
      </c>
      <c r="Q32" s="250">
        <f t="shared" si="36"/>
        <v>0</v>
      </c>
      <c r="R32" s="250">
        <f t="shared" si="36"/>
        <v>0</v>
      </c>
      <c r="S32" s="250">
        <f t="shared" si="36"/>
        <v>0</v>
      </c>
      <c r="T32" s="250">
        <f t="shared" si="36"/>
        <v>0</v>
      </c>
      <c r="U32" s="250">
        <f t="shared" si="36"/>
        <v>0</v>
      </c>
      <c r="V32" s="250">
        <f t="shared" si="36"/>
        <v>0</v>
      </c>
      <c r="W32" s="250">
        <f t="shared" si="36"/>
        <v>0</v>
      </c>
      <c r="X32" s="250">
        <f t="shared" si="36"/>
        <v>0</v>
      </c>
      <c r="Y32" s="250">
        <f t="shared" si="36"/>
        <v>0</v>
      </c>
      <c r="Z32" s="250">
        <f t="shared" si="36"/>
        <v>0</v>
      </c>
      <c r="AA32" s="250">
        <f t="shared" si="36"/>
        <v>0</v>
      </c>
      <c r="AB32" s="250">
        <f t="shared" si="36"/>
        <v>0</v>
      </c>
      <c r="AC32" s="250">
        <f t="shared" si="36"/>
        <v>0</v>
      </c>
      <c r="AD32" s="250">
        <f t="shared" si="36"/>
        <v>0</v>
      </c>
      <c r="AE32" s="250">
        <f t="shared" si="36"/>
        <v>0</v>
      </c>
      <c r="AF32" s="250">
        <f t="shared" si="36"/>
        <v>0</v>
      </c>
      <c r="AG32" s="250">
        <f t="shared" si="36"/>
        <v>0</v>
      </c>
      <c r="AH32" s="250">
        <f t="shared" si="36"/>
        <v>0</v>
      </c>
      <c r="AI32" s="250">
        <f t="shared" si="36"/>
        <v>0</v>
      </c>
      <c r="AJ32" s="250">
        <f t="shared" si="36"/>
        <v>0</v>
      </c>
      <c r="AK32" s="250">
        <f t="shared" si="36"/>
        <v>0</v>
      </c>
      <c r="AL32" s="250">
        <f t="shared" si="36"/>
        <v>0</v>
      </c>
      <c r="AM32" s="250">
        <f t="shared" si="36"/>
        <v>0</v>
      </c>
      <c r="AN32" s="248">
        <f t="shared" si="5"/>
        <v>0</v>
      </c>
      <c r="AO32" s="248">
        <f t="shared" si="6"/>
        <v>0</v>
      </c>
      <c r="AP32" s="248">
        <f t="shared" si="7"/>
        <v>3.1290000000000004</v>
      </c>
      <c r="AQ32" s="248">
        <f t="shared" si="8"/>
        <v>0</v>
      </c>
      <c r="AR32" s="248">
        <f t="shared" si="9"/>
        <v>0</v>
      </c>
      <c r="AS32" s="248">
        <f t="shared" si="10"/>
        <v>0</v>
      </c>
      <c r="AT32" s="248">
        <f t="shared" si="11"/>
        <v>0</v>
      </c>
      <c r="AU32" s="250">
        <f t="shared" ref="AU32" si="37">SUM(AU36:AU50)</f>
        <v>0</v>
      </c>
      <c r="AV32" s="250">
        <f t="shared" ref="AV32" si="38">SUM(AV36:AV50)</f>
        <v>0</v>
      </c>
      <c r="AW32" s="250">
        <f t="shared" ref="AW32" si="39">SUM(AW36:AW50)</f>
        <v>0.3</v>
      </c>
      <c r="AX32" s="250">
        <f t="shared" ref="AX32" si="40">SUM(AX36:AX50)</f>
        <v>0</v>
      </c>
      <c r="AY32" s="250">
        <f t="shared" ref="AY32" si="41">SUM(AY36:AY50)</f>
        <v>0</v>
      </c>
      <c r="AZ32" s="250">
        <f t="shared" ref="AZ32" si="42">SUM(AZ36:AZ50)</f>
        <v>0</v>
      </c>
      <c r="BA32" s="250">
        <f t="shared" ref="BA32" si="43">SUM(BA36:BA50)</f>
        <v>0</v>
      </c>
      <c r="BB32" s="250">
        <f t="shared" ref="BB32" si="44">SUM(BB36:BB50)</f>
        <v>0</v>
      </c>
      <c r="BC32" s="250">
        <f t="shared" ref="BC32" si="45">SUM(BC36:BC50)</f>
        <v>0</v>
      </c>
      <c r="BD32" s="250">
        <f t="shared" ref="BD32" si="46">SUM(BD36:BD50)</f>
        <v>1.1950000000000001</v>
      </c>
      <c r="BE32" s="250">
        <f t="shared" ref="BE32" si="47">SUM(BE36:BE50)</f>
        <v>0</v>
      </c>
      <c r="BF32" s="250">
        <f t="shared" ref="BF32" si="48">SUM(BF36:BF50)</f>
        <v>0</v>
      </c>
      <c r="BG32" s="250">
        <f t="shared" ref="BG32" si="49">SUM(BG36:BG50)</f>
        <v>0</v>
      </c>
      <c r="BH32" s="250">
        <f t="shared" ref="BH32" si="50">SUM(BH36:BH50)</f>
        <v>0</v>
      </c>
      <c r="BI32" s="250">
        <f t="shared" ref="BI32" si="51">SUM(BI36:BI50)</f>
        <v>0</v>
      </c>
      <c r="BJ32" s="250">
        <f t="shared" ref="BJ32" si="52">SUM(BJ36:BJ50)</f>
        <v>0</v>
      </c>
      <c r="BK32" s="250">
        <f t="shared" ref="BK32" si="53">SUM(BK36:BK50)</f>
        <v>8.4999999999999992E-2</v>
      </c>
      <c r="BL32" s="250">
        <f t="shared" ref="BL32" si="54">SUM(BL36:BL50)</f>
        <v>0</v>
      </c>
      <c r="BM32" s="250">
        <f t="shared" ref="BM32" si="55">SUM(BM36:BM50)</f>
        <v>0</v>
      </c>
      <c r="BN32" s="250">
        <f t="shared" ref="BN32" si="56">SUM(BN36:BN50)</f>
        <v>0</v>
      </c>
      <c r="BO32" s="250">
        <f t="shared" ref="BO32" si="57">SUM(BO36:BO50)</f>
        <v>0</v>
      </c>
      <c r="BP32" s="250">
        <f t="shared" ref="BP32:BQ32" si="58">SUM(BP36:BP50)</f>
        <v>0</v>
      </c>
      <c r="BQ32" s="250">
        <f t="shared" si="58"/>
        <v>0</v>
      </c>
      <c r="BR32" s="250">
        <f>SUM(BR33:BR50)</f>
        <v>1.5490000000000002</v>
      </c>
      <c r="BS32" s="250">
        <f t="shared" ref="BS32:BV32" si="59">SUM(BS36:BS50)</f>
        <v>0</v>
      </c>
      <c r="BT32" s="250">
        <f t="shared" si="59"/>
        <v>0</v>
      </c>
      <c r="BU32" s="250">
        <f t="shared" si="59"/>
        <v>0</v>
      </c>
      <c r="BV32" s="250">
        <f t="shared" si="59"/>
        <v>0</v>
      </c>
      <c r="BW32" s="248">
        <f t="shared" si="13"/>
        <v>0.25</v>
      </c>
      <c r="BX32" s="248">
        <f t="shared" si="14"/>
        <v>0</v>
      </c>
      <c r="BY32" s="248">
        <f t="shared" si="15"/>
        <v>-1.6290000000000004</v>
      </c>
      <c r="BZ32" s="248">
        <f t="shared" si="16"/>
        <v>0</v>
      </c>
      <c r="CA32" s="248">
        <f t="shared" si="17"/>
        <v>0</v>
      </c>
      <c r="CB32" s="248">
        <f t="shared" si="18"/>
        <v>0</v>
      </c>
      <c r="CC32" s="248">
        <f t="shared" si="19"/>
        <v>0</v>
      </c>
      <c r="CD32" s="136">
        <f>'10'!T31</f>
        <v>0</v>
      </c>
    </row>
    <row r="33" spans="1:82" s="65" customFormat="1" ht="31.5">
      <c r="A33" s="123" t="s">
        <v>1074</v>
      </c>
      <c r="B33" s="508" t="s">
        <v>1179</v>
      </c>
      <c r="C33" s="204" t="s">
        <v>1182</v>
      </c>
      <c r="D33" s="556" t="s">
        <v>876</v>
      </c>
      <c r="E33" s="252">
        <v>0</v>
      </c>
      <c r="F33" s="252">
        <v>0</v>
      </c>
      <c r="G33" s="252">
        <f>N33+U33+AB39+AB33</f>
        <v>0.06</v>
      </c>
      <c r="H33" s="252">
        <v>0</v>
      </c>
      <c r="I33" s="252">
        <v>0</v>
      </c>
      <c r="J33" s="252">
        <v>0</v>
      </c>
      <c r="K33" s="252">
        <v>0</v>
      </c>
      <c r="L33" s="250">
        <v>0</v>
      </c>
      <c r="M33" s="250">
        <v>0</v>
      </c>
      <c r="N33" s="250">
        <f>'13'!P34</f>
        <v>0.06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48">
        <v>0</v>
      </c>
      <c r="AO33" s="248">
        <v>0</v>
      </c>
      <c r="AP33" s="248">
        <v>0</v>
      </c>
      <c r="AQ33" s="248">
        <v>0</v>
      </c>
      <c r="AR33" s="248">
        <v>0</v>
      </c>
      <c r="AS33" s="248">
        <v>0</v>
      </c>
      <c r="AT33" s="248">
        <v>0</v>
      </c>
      <c r="AU33" s="250">
        <v>0</v>
      </c>
      <c r="AV33" s="250">
        <v>0</v>
      </c>
      <c r="AW33" s="250">
        <f>'14'!Q28</f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'14'!V28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f>'14'!AA28</f>
        <v>0</v>
      </c>
      <c r="BL33" s="250"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f>'14'!AF28</f>
        <v>0.06</v>
      </c>
      <c r="BS33" s="250">
        <v>0</v>
      </c>
      <c r="BT33" s="250">
        <v>0</v>
      </c>
      <c r="BU33" s="250">
        <v>0</v>
      </c>
      <c r="BV33" s="250">
        <v>0</v>
      </c>
      <c r="BW33" s="248">
        <v>0</v>
      </c>
      <c r="BX33" s="248">
        <v>0</v>
      </c>
      <c r="BY33" s="248">
        <v>0</v>
      </c>
      <c r="BZ33" s="248">
        <v>0</v>
      </c>
      <c r="CA33" s="248">
        <v>0</v>
      </c>
      <c r="CB33" s="248">
        <v>0</v>
      </c>
      <c r="CC33" s="248">
        <v>0</v>
      </c>
      <c r="CD33" s="556">
        <f>'10'!T29</f>
        <v>0</v>
      </c>
    </row>
    <row r="34" spans="1:82" s="65" customFormat="1" ht="31.5">
      <c r="A34" s="123" t="s">
        <v>1074</v>
      </c>
      <c r="B34" s="508" t="s">
        <v>1180</v>
      </c>
      <c r="C34" s="204" t="s">
        <v>1183</v>
      </c>
      <c r="D34" s="556" t="s">
        <v>876</v>
      </c>
      <c r="E34" s="252">
        <v>0</v>
      </c>
      <c r="F34" s="252">
        <v>0</v>
      </c>
      <c r="G34" s="252">
        <f t="shared" ref="G34:G57" si="60">N34+U34+AB40+AB34</f>
        <v>0.08</v>
      </c>
      <c r="H34" s="252">
        <v>0</v>
      </c>
      <c r="I34" s="252">
        <v>0</v>
      </c>
      <c r="J34" s="252">
        <v>0</v>
      </c>
      <c r="K34" s="252">
        <v>0</v>
      </c>
      <c r="L34" s="250">
        <v>0</v>
      </c>
      <c r="M34" s="250">
        <v>0</v>
      </c>
      <c r="N34" s="250">
        <f>'13'!P35</f>
        <v>0.08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48">
        <v>0</v>
      </c>
      <c r="AO34" s="248">
        <v>0</v>
      </c>
      <c r="AP34" s="248">
        <v>0</v>
      </c>
      <c r="AQ34" s="248">
        <v>0</v>
      </c>
      <c r="AR34" s="248">
        <v>0</v>
      </c>
      <c r="AS34" s="248">
        <v>0</v>
      </c>
      <c r="AT34" s="248">
        <v>0</v>
      </c>
      <c r="AU34" s="250">
        <v>0</v>
      </c>
      <c r="AV34" s="250">
        <v>0</v>
      </c>
      <c r="AW34" s="250">
        <f>'14'!Q29</f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'14'!V29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f>'14'!AA29</f>
        <v>0</v>
      </c>
      <c r="BL34" s="250"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f>'14'!AF29</f>
        <v>0.08</v>
      </c>
      <c r="BS34" s="250">
        <v>0</v>
      </c>
      <c r="BT34" s="250">
        <v>0</v>
      </c>
      <c r="BU34" s="250">
        <v>0</v>
      </c>
      <c r="BV34" s="250">
        <v>0</v>
      </c>
      <c r="BW34" s="248">
        <v>0</v>
      </c>
      <c r="BX34" s="248">
        <v>0</v>
      </c>
      <c r="BY34" s="248">
        <v>0</v>
      </c>
      <c r="BZ34" s="248">
        <v>0</v>
      </c>
      <c r="CA34" s="248">
        <v>0</v>
      </c>
      <c r="CB34" s="248">
        <v>0</v>
      </c>
      <c r="CC34" s="248">
        <v>0</v>
      </c>
      <c r="CD34" s="556">
        <f>'10'!T30</f>
        <v>0</v>
      </c>
    </row>
    <row r="35" spans="1:82" s="65" customFormat="1" ht="31.5">
      <c r="A35" s="123" t="s">
        <v>1074</v>
      </c>
      <c r="B35" s="508" t="s">
        <v>1181</v>
      </c>
      <c r="C35" s="204" t="s">
        <v>1184</v>
      </c>
      <c r="D35" s="556" t="s">
        <v>876</v>
      </c>
      <c r="E35" s="252">
        <v>0</v>
      </c>
      <c r="F35" s="252">
        <v>0</v>
      </c>
      <c r="G35" s="252">
        <f t="shared" si="60"/>
        <v>0.22</v>
      </c>
      <c r="H35" s="252">
        <v>0</v>
      </c>
      <c r="I35" s="252">
        <v>0</v>
      </c>
      <c r="J35" s="252">
        <v>0</v>
      </c>
      <c r="K35" s="252">
        <v>0</v>
      </c>
      <c r="L35" s="250">
        <v>0</v>
      </c>
      <c r="M35" s="250">
        <v>0</v>
      </c>
      <c r="N35" s="250">
        <f>'13'!P36</f>
        <v>0.22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48">
        <v>0</v>
      </c>
      <c r="AO35" s="248">
        <v>0</v>
      </c>
      <c r="AP35" s="248">
        <v>0</v>
      </c>
      <c r="AQ35" s="248">
        <v>0</v>
      </c>
      <c r="AR35" s="248">
        <v>0</v>
      </c>
      <c r="AS35" s="248">
        <v>0</v>
      </c>
      <c r="AT35" s="248">
        <v>0</v>
      </c>
      <c r="AU35" s="250">
        <v>0</v>
      </c>
      <c r="AV35" s="250">
        <v>0</v>
      </c>
      <c r="AW35" s="250">
        <f>'14'!Q30</f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'14'!V30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f>'14'!AA30</f>
        <v>0</v>
      </c>
      <c r="BL35" s="250"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f>'14'!AF30</f>
        <v>0.22</v>
      </c>
      <c r="BS35" s="250">
        <v>0</v>
      </c>
      <c r="BT35" s="250">
        <v>0</v>
      </c>
      <c r="BU35" s="250">
        <v>0</v>
      </c>
      <c r="BV35" s="250">
        <v>0</v>
      </c>
      <c r="BW35" s="248">
        <v>0</v>
      </c>
      <c r="BX35" s="248">
        <v>0</v>
      </c>
      <c r="BY35" s="248">
        <v>0</v>
      </c>
      <c r="BZ35" s="248">
        <v>0</v>
      </c>
      <c r="CA35" s="248">
        <v>0</v>
      </c>
      <c r="CB35" s="248">
        <v>0</v>
      </c>
      <c r="CC35" s="248">
        <v>0</v>
      </c>
      <c r="CD35" s="556">
        <f>'10'!T31</f>
        <v>0</v>
      </c>
    </row>
    <row r="36" spans="1:82" s="65" customFormat="1" ht="78.75">
      <c r="A36" s="123" t="s">
        <v>1074</v>
      </c>
      <c r="B36" s="508" t="s">
        <v>1080</v>
      </c>
      <c r="C36" s="204" t="s">
        <v>876</v>
      </c>
      <c r="D36" s="163" t="s">
        <v>876</v>
      </c>
      <c r="E36" s="252">
        <v>0</v>
      </c>
      <c r="F36" s="252">
        <v>0</v>
      </c>
      <c r="G36" s="252">
        <f t="shared" si="60"/>
        <v>0</v>
      </c>
      <c r="H36" s="252">
        <v>0</v>
      </c>
      <c r="I36" s="252">
        <v>0</v>
      </c>
      <c r="J36" s="252">
        <v>0</v>
      </c>
      <c r="K36" s="252">
        <v>0</v>
      </c>
      <c r="L36" s="250">
        <v>0</v>
      </c>
      <c r="M36" s="250">
        <v>0</v>
      </c>
      <c r="N36" s="250">
        <f>'13'!P37</f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48">
        <v>0</v>
      </c>
      <c r="AO36" s="248">
        <v>0</v>
      </c>
      <c r="AP36" s="248">
        <v>0</v>
      </c>
      <c r="AQ36" s="248">
        <v>0</v>
      </c>
      <c r="AR36" s="248">
        <v>0</v>
      </c>
      <c r="AS36" s="248">
        <v>0</v>
      </c>
      <c r="AT36" s="248">
        <v>0</v>
      </c>
      <c r="AU36" s="250">
        <v>0</v>
      </c>
      <c r="AV36" s="250">
        <v>0</v>
      </c>
      <c r="AW36" s="250">
        <f>'14'!Q31</f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'14'!V31</f>
        <v>7.4999999999999997E-2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f>'14'!AA31</f>
        <v>0</v>
      </c>
      <c r="BL36" s="250"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f>'14'!AF31</f>
        <v>0</v>
      </c>
      <c r="BS36" s="250">
        <v>0</v>
      </c>
      <c r="BT36" s="250">
        <v>0</v>
      </c>
      <c r="BU36" s="250">
        <v>0</v>
      </c>
      <c r="BV36" s="250">
        <v>0</v>
      </c>
      <c r="BW36" s="248">
        <v>0</v>
      </c>
      <c r="BX36" s="248">
        <v>0</v>
      </c>
      <c r="BY36" s="248">
        <v>0</v>
      </c>
      <c r="BZ36" s="248">
        <v>0</v>
      </c>
      <c r="CA36" s="248">
        <v>0</v>
      </c>
      <c r="CB36" s="248">
        <v>0</v>
      </c>
      <c r="CC36" s="248">
        <v>0</v>
      </c>
      <c r="CD36" s="163" t="str">
        <f>'10'!T32</f>
        <v>Строительство сетей для создания технической возможности ТП потребителей в соответствии с договорами на ТП</v>
      </c>
    </row>
    <row r="37" spans="1:82" s="65" customFormat="1" ht="78.75">
      <c r="A37" s="123" t="s">
        <v>1075</v>
      </c>
      <c r="B37" s="508" t="s">
        <v>1081</v>
      </c>
      <c r="C37" s="204" t="s">
        <v>876</v>
      </c>
      <c r="D37" s="163" t="s">
        <v>876</v>
      </c>
      <c r="E37" s="252">
        <v>0</v>
      </c>
      <c r="F37" s="252">
        <v>0</v>
      </c>
      <c r="G37" s="252">
        <f t="shared" si="60"/>
        <v>0</v>
      </c>
      <c r="H37" s="252">
        <v>0</v>
      </c>
      <c r="I37" s="252">
        <v>0</v>
      </c>
      <c r="J37" s="252">
        <v>0</v>
      </c>
      <c r="K37" s="252">
        <v>0</v>
      </c>
      <c r="L37" s="250">
        <v>0</v>
      </c>
      <c r="M37" s="250">
        <v>0</v>
      </c>
      <c r="N37" s="250">
        <f>'13'!P38</f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48">
        <v>0</v>
      </c>
      <c r="AO37" s="248">
        <v>0</v>
      </c>
      <c r="AP37" s="248">
        <v>0</v>
      </c>
      <c r="AQ37" s="248">
        <v>0</v>
      </c>
      <c r="AR37" s="248">
        <v>0</v>
      </c>
      <c r="AS37" s="248">
        <v>0</v>
      </c>
      <c r="AT37" s="248">
        <v>0</v>
      </c>
      <c r="AU37" s="250">
        <v>0</v>
      </c>
      <c r="AV37" s="250">
        <v>0</v>
      </c>
      <c r="AW37" s="250">
        <f>'14'!Q32</f>
        <v>0.3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'14'!V32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f>'14'!AA32</f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f>'14'!AF32</f>
        <v>0</v>
      </c>
      <c r="BS37" s="250">
        <v>0</v>
      </c>
      <c r="BT37" s="250">
        <v>0</v>
      </c>
      <c r="BU37" s="250">
        <v>0</v>
      </c>
      <c r="BV37" s="250">
        <v>0</v>
      </c>
      <c r="BW37" s="248">
        <v>0</v>
      </c>
      <c r="BX37" s="248">
        <v>0</v>
      </c>
      <c r="BY37" s="248">
        <v>0</v>
      </c>
      <c r="BZ37" s="248">
        <v>0</v>
      </c>
      <c r="CA37" s="248">
        <v>0</v>
      </c>
      <c r="CB37" s="248">
        <v>0</v>
      </c>
      <c r="CC37" s="248">
        <v>0</v>
      </c>
      <c r="CD37" s="518" t="str">
        <f>'10'!T33</f>
        <v>Строительство сетей для создания технической возможности ТП потребителей в соответствии с договорами на ТП</v>
      </c>
    </row>
    <row r="38" spans="1:82" s="65" customFormat="1" ht="78.75">
      <c r="A38" s="123" t="s">
        <v>1076</v>
      </c>
      <c r="B38" s="508" t="s">
        <v>1082</v>
      </c>
      <c r="C38" s="204" t="s">
        <v>876</v>
      </c>
      <c r="D38" s="163" t="s">
        <v>876</v>
      </c>
      <c r="E38" s="252">
        <v>0</v>
      </c>
      <c r="F38" s="252">
        <v>0</v>
      </c>
      <c r="G38" s="252">
        <f t="shared" si="60"/>
        <v>0</v>
      </c>
      <c r="H38" s="252">
        <v>0</v>
      </c>
      <c r="I38" s="252">
        <v>0</v>
      </c>
      <c r="J38" s="252">
        <v>0</v>
      </c>
      <c r="K38" s="252">
        <v>0</v>
      </c>
      <c r="L38" s="250">
        <v>0</v>
      </c>
      <c r="M38" s="250">
        <v>0</v>
      </c>
      <c r="N38" s="250">
        <f>'13'!P39</f>
        <v>0</v>
      </c>
      <c r="O38" s="250">
        <v>0</v>
      </c>
      <c r="P38" s="250">
        <v>0</v>
      </c>
      <c r="Q38" s="250">
        <v>0</v>
      </c>
      <c r="R38" s="250"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48">
        <v>0</v>
      </c>
      <c r="AO38" s="248">
        <v>0</v>
      </c>
      <c r="AP38" s="248">
        <v>0</v>
      </c>
      <c r="AQ38" s="248">
        <v>0</v>
      </c>
      <c r="AR38" s="248">
        <v>0</v>
      </c>
      <c r="AS38" s="248">
        <v>0</v>
      </c>
      <c r="AT38" s="248">
        <v>0</v>
      </c>
      <c r="AU38" s="250">
        <v>0</v>
      </c>
      <c r="AV38" s="250">
        <v>0</v>
      </c>
      <c r="AW38" s="250">
        <f>'14'!Q33</f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'14'!V33</f>
        <v>0.08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f>'14'!AA33</f>
        <v>0</v>
      </c>
      <c r="BL38" s="250"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f>'14'!AF33</f>
        <v>0</v>
      </c>
      <c r="BS38" s="250">
        <v>0</v>
      </c>
      <c r="BT38" s="250">
        <v>0</v>
      </c>
      <c r="BU38" s="250">
        <v>0</v>
      </c>
      <c r="BV38" s="250">
        <v>0</v>
      </c>
      <c r="BW38" s="248">
        <v>0</v>
      </c>
      <c r="BX38" s="248">
        <v>0</v>
      </c>
      <c r="BY38" s="248">
        <v>0</v>
      </c>
      <c r="BZ38" s="248">
        <v>0</v>
      </c>
      <c r="CA38" s="248">
        <v>0</v>
      </c>
      <c r="CB38" s="248">
        <v>0</v>
      </c>
      <c r="CC38" s="248">
        <v>0</v>
      </c>
      <c r="CD38" s="518" t="str">
        <f>'10'!T34</f>
        <v>Строительство сетей для создания технической возможности ТП потребителей в соответствии с договорами на ТП</v>
      </c>
    </row>
    <row r="39" spans="1:82" s="65" customFormat="1" ht="78.75">
      <c r="A39" s="123" t="s">
        <v>1077</v>
      </c>
      <c r="B39" s="508" t="s">
        <v>1157</v>
      </c>
      <c r="C39" s="204" t="s">
        <v>876</v>
      </c>
      <c r="D39" s="163" t="s">
        <v>876</v>
      </c>
      <c r="E39" s="252">
        <v>0</v>
      </c>
      <c r="F39" s="252">
        <v>0</v>
      </c>
      <c r="G39" s="252">
        <f t="shared" si="60"/>
        <v>0</v>
      </c>
      <c r="H39" s="252">
        <v>0</v>
      </c>
      <c r="I39" s="252">
        <v>0</v>
      </c>
      <c r="J39" s="252">
        <v>0</v>
      </c>
      <c r="K39" s="252">
        <v>0</v>
      </c>
      <c r="L39" s="250">
        <v>0</v>
      </c>
      <c r="M39" s="250">
        <v>0</v>
      </c>
      <c r="N39" s="250">
        <f>'13'!P40</f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48">
        <v>0</v>
      </c>
      <c r="AO39" s="248">
        <v>0</v>
      </c>
      <c r="AP39" s="248">
        <v>0</v>
      </c>
      <c r="AQ39" s="248">
        <v>0</v>
      </c>
      <c r="AR39" s="248">
        <v>0</v>
      </c>
      <c r="AS39" s="248">
        <v>0</v>
      </c>
      <c r="AT39" s="248">
        <v>0</v>
      </c>
      <c r="AU39" s="250">
        <v>0</v>
      </c>
      <c r="AV39" s="250">
        <v>0</v>
      </c>
      <c r="AW39" s="250">
        <f>'14'!Q34</f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'14'!V34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f>'14'!AA34</f>
        <v>2.5000000000000001E-2</v>
      </c>
      <c r="BL39" s="250"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f>'14'!AF34</f>
        <v>0</v>
      </c>
      <c r="BS39" s="250">
        <v>0</v>
      </c>
      <c r="BT39" s="250">
        <v>0</v>
      </c>
      <c r="BU39" s="250">
        <v>0</v>
      </c>
      <c r="BV39" s="250">
        <v>0</v>
      </c>
      <c r="BW39" s="248">
        <v>0</v>
      </c>
      <c r="BX39" s="248">
        <v>0</v>
      </c>
      <c r="BY39" s="248">
        <v>0</v>
      </c>
      <c r="BZ39" s="248">
        <v>0</v>
      </c>
      <c r="CA39" s="248">
        <v>0</v>
      </c>
      <c r="CB39" s="248">
        <v>0</v>
      </c>
      <c r="CC39" s="248">
        <v>0</v>
      </c>
      <c r="CD39" s="518" t="str">
        <f>'10'!T35</f>
        <v>Строительство сетей для создания технической возможности ТП потребителей в соответствии с договорами на ТП</v>
      </c>
    </row>
    <row r="40" spans="1:82" s="65" customFormat="1" ht="78.75">
      <c r="A40" s="123" t="s">
        <v>1078</v>
      </c>
      <c r="B40" s="514" t="s">
        <v>1084</v>
      </c>
      <c r="C40" s="204" t="s">
        <v>876</v>
      </c>
      <c r="D40" s="163" t="s">
        <v>876</v>
      </c>
      <c r="E40" s="252">
        <v>0</v>
      </c>
      <c r="F40" s="252">
        <v>0</v>
      </c>
      <c r="G40" s="252">
        <f t="shared" si="60"/>
        <v>0</v>
      </c>
      <c r="H40" s="252">
        <v>0</v>
      </c>
      <c r="I40" s="252">
        <v>0</v>
      </c>
      <c r="J40" s="252">
        <v>0</v>
      </c>
      <c r="K40" s="252">
        <v>0</v>
      </c>
      <c r="L40" s="250">
        <v>0</v>
      </c>
      <c r="M40" s="250">
        <v>0</v>
      </c>
      <c r="N40" s="250">
        <f>'13'!P41</f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48">
        <v>0</v>
      </c>
      <c r="AO40" s="248">
        <v>0</v>
      </c>
      <c r="AP40" s="248">
        <v>0</v>
      </c>
      <c r="AQ40" s="248">
        <v>0</v>
      </c>
      <c r="AR40" s="248">
        <v>0</v>
      </c>
      <c r="AS40" s="248">
        <v>0</v>
      </c>
      <c r="AT40" s="248">
        <v>0</v>
      </c>
      <c r="AU40" s="250">
        <v>0</v>
      </c>
      <c r="AV40" s="250">
        <v>0</v>
      </c>
      <c r="AW40" s="250">
        <f>'14'!Q35</f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'14'!V35</f>
        <v>1.04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f>'14'!AA35</f>
        <v>0</v>
      </c>
      <c r="BL40" s="250"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f>'14'!AF35</f>
        <v>0</v>
      </c>
      <c r="BS40" s="250">
        <v>0</v>
      </c>
      <c r="BT40" s="250">
        <v>0</v>
      </c>
      <c r="BU40" s="250">
        <v>0</v>
      </c>
      <c r="BV40" s="250">
        <v>0</v>
      </c>
      <c r="BW40" s="248">
        <v>0</v>
      </c>
      <c r="BX40" s="248">
        <v>0</v>
      </c>
      <c r="BY40" s="248">
        <v>0</v>
      </c>
      <c r="BZ40" s="248">
        <v>0</v>
      </c>
      <c r="CA40" s="248">
        <v>0</v>
      </c>
      <c r="CB40" s="248">
        <v>0</v>
      </c>
      <c r="CC40" s="248">
        <v>0</v>
      </c>
      <c r="CD40" s="518" t="str">
        <f>'10'!T36</f>
        <v>Строительство сетей для создания технической возможности ТП потребителей в соответствии с договорами на ТП</v>
      </c>
    </row>
    <row r="41" spans="1:82" s="65" customFormat="1" ht="78.75">
      <c r="A41" s="123" t="s">
        <v>1079</v>
      </c>
      <c r="B41" s="508" t="s">
        <v>1085</v>
      </c>
      <c r="C41" s="204" t="s">
        <v>876</v>
      </c>
      <c r="D41" s="163" t="s">
        <v>876</v>
      </c>
      <c r="E41" s="252">
        <v>0</v>
      </c>
      <c r="F41" s="252">
        <v>0</v>
      </c>
      <c r="G41" s="252">
        <f t="shared" si="60"/>
        <v>0</v>
      </c>
      <c r="H41" s="252">
        <v>0</v>
      </c>
      <c r="I41" s="252">
        <v>0</v>
      </c>
      <c r="J41" s="252">
        <v>0</v>
      </c>
      <c r="K41" s="252">
        <v>0</v>
      </c>
      <c r="L41" s="250">
        <v>0</v>
      </c>
      <c r="M41" s="250">
        <v>0</v>
      </c>
      <c r="N41" s="250">
        <f>'13'!P42</f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48">
        <v>0</v>
      </c>
      <c r="AO41" s="248">
        <v>0</v>
      </c>
      <c r="AP41" s="248">
        <v>0</v>
      </c>
      <c r="AQ41" s="248">
        <v>0</v>
      </c>
      <c r="AR41" s="248">
        <v>0</v>
      </c>
      <c r="AS41" s="248">
        <v>0</v>
      </c>
      <c r="AT41" s="248">
        <v>0</v>
      </c>
      <c r="AU41" s="250">
        <v>0</v>
      </c>
      <c r="AV41" s="250">
        <v>0</v>
      </c>
      <c r="AW41" s="250">
        <f>'14'!Q36</f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'14'!V36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f>'14'!AA36</f>
        <v>0</v>
      </c>
      <c r="BL41" s="250"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f>'14'!AF36</f>
        <v>0</v>
      </c>
      <c r="BS41" s="250">
        <v>0</v>
      </c>
      <c r="BT41" s="250">
        <v>0</v>
      </c>
      <c r="BU41" s="250">
        <v>0</v>
      </c>
      <c r="BV41" s="250">
        <v>0</v>
      </c>
      <c r="BW41" s="248">
        <v>0</v>
      </c>
      <c r="BX41" s="248">
        <v>0</v>
      </c>
      <c r="BY41" s="248">
        <v>0</v>
      </c>
      <c r="BZ41" s="248">
        <v>0</v>
      </c>
      <c r="CA41" s="248">
        <v>0</v>
      </c>
      <c r="CB41" s="248">
        <v>0</v>
      </c>
      <c r="CC41" s="248">
        <v>0</v>
      </c>
      <c r="CD41" s="518" t="str">
        <f>'10'!T37</f>
        <v>Строительство сетей для создания технической возможности ТП потребителей в соответствии с договорами на ТП</v>
      </c>
    </row>
    <row r="42" spans="1:82" s="65" customFormat="1" ht="78.75">
      <c r="A42" s="123" t="s">
        <v>1145</v>
      </c>
      <c r="B42" s="508" t="s">
        <v>1156</v>
      </c>
      <c r="C42" s="204" t="s">
        <v>876</v>
      </c>
      <c r="D42" s="512" t="s">
        <v>876</v>
      </c>
      <c r="E42" s="252">
        <v>0</v>
      </c>
      <c r="F42" s="252">
        <v>0</v>
      </c>
      <c r="G42" s="252">
        <f t="shared" si="60"/>
        <v>0</v>
      </c>
      <c r="H42" s="252">
        <v>0</v>
      </c>
      <c r="I42" s="252">
        <v>0</v>
      </c>
      <c r="J42" s="252">
        <v>0</v>
      </c>
      <c r="K42" s="252">
        <v>0</v>
      </c>
      <c r="L42" s="250">
        <v>0</v>
      </c>
      <c r="M42" s="250">
        <v>0</v>
      </c>
      <c r="N42" s="250">
        <f>'13'!P43</f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48">
        <v>0</v>
      </c>
      <c r="AO42" s="248">
        <v>0</v>
      </c>
      <c r="AP42" s="248">
        <v>0</v>
      </c>
      <c r="AQ42" s="248">
        <v>0</v>
      </c>
      <c r="AR42" s="248">
        <v>0</v>
      </c>
      <c r="AS42" s="248">
        <v>0</v>
      </c>
      <c r="AT42" s="248">
        <v>0</v>
      </c>
      <c r="AU42" s="250">
        <v>0</v>
      </c>
      <c r="AV42" s="250">
        <v>0</v>
      </c>
      <c r="AW42" s="250">
        <f>'14'!Q37</f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'14'!V37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f>'14'!AA37</f>
        <v>0.06</v>
      </c>
      <c r="BL42" s="250"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f>'14'!AF37</f>
        <v>0</v>
      </c>
      <c r="BS42" s="250">
        <v>0</v>
      </c>
      <c r="BT42" s="250">
        <v>0</v>
      </c>
      <c r="BU42" s="250">
        <v>0</v>
      </c>
      <c r="BV42" s="250">
        <v>0</v>
      </c>
      <c r="BW42" s="248">
        <v>0</v>
      </c>
      <c r="BX42" s="248">
        <v>0</v>
      </c>
      <c r="BY42" s="248">
        <v>0</v>
      </c>
      <c r="BZ42" s="248">
        <v>0</v>
      </c>
      <c r="CA42" s="248">
        <v>0</v>
      </c>
      <c r="CB42" s="248">
        <v>0</v>
      </c>
      <c r="CC42" s="248">
        <v>0</v>
      </c>
      <c r="CD42" s="518" t="str">
        <f>'10'!T38</f>
        <v>Строительство сетей для создания технической возможности ТП потребителей в соответствии с договорами на ТП</v>
      </c>
    </row>
    <row r="43" spans="1:82" s="65" customFormat="1" ht="78.75">
      <c r="A43" s="123" t="s">
        <v>1146</v>
      </c>
      <c r="B43" s="508" t="s">
        <v>1155</v>
      </c>
      <c r="C43" s="204" t="s">
        <v>876</v>
      </c>
      <c r="D43" s="512" t="s">
        <v>876</v>
      </c>
      <c r="E43" s="252">
        <v>0</v>
      </c>
      <c r="F43" s="252">
        <v>0</v>
      </c>
      <c r="G43" s="252">
        <f t="shared" si="60"/>
        <v>0</v>
      </c>
      <c r="H43" s="252">
        <v>0</v>
      </c>
      <c r="I43" s="252">
        <v>0</v>
      </c>
      <c r="J43" s="252">
        <v>0</v>
      </c>
      <c r="K43" s="252">
        <v>0</v>
      </c>
      <c r="L43" s="250">
        <v>0</v>
      </c>
      <c r="M43" s="250">
        <v>0</v>
      </c>
      <c r="N43" s="250">
        <f>'13'!P44</f>
        <v>0</v>
      </c>
      <c r="O43" s="250">
        <v>0</v>
      </c>
      <c r="P43" s="250">
        <v>0</v>
      </c>
      <c r="Q43" s="250">
        <v>0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50">
        <v>0</v>
      </c>
      <c r="AG43" s="250">
        <v>0</v>
      </c>
      <c r="AH43" s="250">
        <v>0</v>
      </c>
      <c r="AI43" s="250">
        <v>0</v>
      </c>
      <c r="AJ43" s="250">
        <v>0</v>
      </c>
      <c r="AK43" s="250">
        <v>0</v>
      </c>
      <c r="AL43" s="250">
        <v>0</v>
      </c>
      <c r="AM43" s="250">
        <v>0</v>
      </c>
      <c r="AN43" s="248">
        <v>0</v>
      </c>
      <c r="AO43" s="248">
        <v>0</v>
      </c>
      <c r="AP43" s="248">
        <v>0</v>
      </c>
      <c r="AQ43" s="248">
        <v>0</v>
      </c>
      <c r="AR43" s="248">
        <v>0</v>
      </c>
      <c r="AS43" s="248">
        <v>0</v>
      </c>
      <c r="AT43" s="248">
        <v>0</v>
      </c>
      <c r="AU43" s="250">
        <v>0</v>
      </c>
      <c r="AV43" s="250">
        <v>0</v>
      </c>
      <c r="AW43" s="250">
        <f>'14'!Q38</f>
        <v>0</v>
      </c>
      <c r="AX43" s="250">
        <v>0</v>
      </c>
      <c r="AY43" s="250"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f>'14'!V38</f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f>'14'!AA38</f>
        <v>0</v>
      </c>
      <c r="BL43" s="250">
        <v>0</v>
      </c>
      <c r="BM43" s="250">
        <v>0</v>
      </c>
      <c r="BN43" s="250">
        <v>0</v>
      </c>
      <c r="BO43" s="250">
        <v>0</v>
      </c>
      <c r="BP43" s="250">
        <v>0</v>
      </c>
      <c r="BQ43" s="250">
        <v>0</v>
      </c>
      <c r="BR43" s="250">
        <f>'14'!AF38</f>
        <v>0.25</v>
      </c>
      <c r="BS43" s="250">
        <v>0</v>
      </c>
      <c r="BT43" s="250">
        <v>0</v>
      </c>
      <c r="BU43" s="250">
        <v>0</v>
      </c>
      <c r="BV43" s="250">
        <v>0</v>
      </c>
      <c r="BW43" s="248">
        <v>0</v>
      </c>
      <c r="BX43" s="248">
        <v>0</v>
      </c>
      <c r="BY43" s="248">
        <v>0</v>
      </c>
      <c r="BZ43" s="248">
        <v>0</v>
      </c>
      <c r="CA43" s="248">
        <v>0</v>
      </c>
      <c r="CB43" s="248">
        <v>0</v>
      </c>
      <c r="CC43" s="248">
        <v>0</v>
      </c>
      <c r="CD43" s="518" t="str">
        <f>'10'!T39</f>
        <v>Строительство сетей для создания технической возможности ТП потребителей в соответствии с договорами на ТП</v>
      </c>
    </row>
    <row r="44" spans="1:82" s="65" customFormat="1" ht="78.75">
      <c r="A44" s="123" t="s">
        <v>1147</v>
      </c>
      <c r="B44" s="508" t="s">
        <v>1154</v>
      </c>
      <c r="C44" s="204" t="s">
        <v>876</v>
      </c>
      <c r="D44" s="512" t="s">
        <v>876</v>
      </c>
      <c r="E44" s="252">
        <v>0</v>
      </c>
      <c r="F44" s="252">
        <v>0</v>
      </c>
      <c r="G44" s="252">
        <f t="shared" si="60"/>
        <v>0</v>
      </c>
      <c r="H44" s="252">
        <v>0</v>
      </c>
      <c r="I44" s="252">
        <v>0</v>
      </c>
      <c r="J44" s="252">
        <v>0</v>
      </c>
      <c r="K44" s="252">
        <v>0</v>
      </c>
      <c r="L44" s="250">
        <v>0</v>
      </c>
      <c r="M44" s="250">
        <v>0</v>
      </c>
      <c r="N44" s="250">
        <f>'13'!P45</f>
        <v>0</v>
      </c>
      <c r="O44" s="250">
        <v>0</v>
      </c>
      <c r="P44" s="250">
        <v>0</v>
      </c>
      <c r="Q44" s="250">
        <v>0</v>
      </c>
      <c r="R44" s="250">
        <v>0</v>
      </c>
      <c r="S44" s="250">
        <v>0</v>
      </c>
      <c r="T44" s="250">
        <v>0</v>
      </c>
      <c r="U44" s="250">
        <v>0</v>
      </c>
      <c r="V44" s="250">
        <v>0</v>
      </c>
      <c r="W44" s="250">
        <v>0</v>
      </c>
      <c r="X44" s="250"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50">
        <v>0</v>
      </c>
      <c r="AG44" s="250">
        <v>0</v>
      </c>
      <c r="AH44" s="250">
        <v>0</v>
      </c>
      <c r="AI44" s="250">
        <v>0</v>
      </c>
      <c r="AJ44" s="250">
        <v>0</v>
      </c>
      <c r="AK44" s="250">
        <v>0</v>
      </c>
      <c r="AL44" s="250">
        <v>0</v>
      </c>
      <c r="AM44" s="250">
        <v>0</v>
      </c>
      <c r="AN44" s="248">
        <v>0</v>
      </c>
      <c r="AO44" s="248">
        <v>0</v>
      </c>
      <c r="AP44" s="248">
        <v>0</v>
      </c>
      <c r="AQ44" s="248">
        <v>0</v>
      </c>
      <c r="AR44" s="248">
        <v>0</v>
      </c>
      <c r="AS44" s="248">
        <v>0</v>
      </c>
      <c r="AT44" s="248">
        <v>0</v>
      </c>
      <c r="AU44" s="250">
        <v>0</v>
      </c>
      <c r="AV44" s="250">
        <v>0</v>
      </c>
      <c r="AW44" s="250">
        <f>'14'!Q39</f>
        <v>0</v>
      </c>
      <c r="AX44" s="250">
        <v>0</v>
      </c>
      <c r="AY44" s="250"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f>'14'!V39</f>
        <v>0</v>
      </c>
      <c r="BE44" s="250">
        <v>0</v>
      </c>
      <c r="BF44" s="250"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f>'14'!AA39</f>
        <v>0</v>
      </c>
      <c r="BL44" s="250">
        <v>0</v>
      </c>
      <c r="BM44" s="250">
        <v>0</v>
      </c>
      <c r="BN44" s="250">
        <v>0</v>
      </c>
      <c r="BO44" s="250">
        <v>0</v>
      </c>
      <c r="BP44" s="250">
        <v>0</v>
      </c>
      <c r="BQ44" s="250">
        <v>0</v>
      </c>
      <c r="BR44" s="250">
        <f>'14'!AF39</f>
        <v>0.2</v>
      </c>
      <c r="BS44" s="250">
        <v>0</v>
      </c>
      <c r="BT44" s="250">
        <v>0</v>
      </c>
      <c r="BU44" s="250">
        <v>0</v>
      </c>
      <c r="BV44" s="250">
        <v>0</v>
      </c>
      <c r="BW44" s="248">
        <v>0</v>
      </c>
      <c r="BX44" s="248">
        <v>0</v>
      </c>
      <c r="BY44" s="248">
        <v>0</v>
      </c>
      <c r="BZ44" s="248">
        <v>0</v>
      </c>
      <c r="CA44" s="248">
        <v>0</v>
      </c>
      <c r="CB44" s="248">
        <v>0</v>
      </c>
      <c r="CC44" s="248">
        <v>0</v>
      </c>
      <c r="CD44" s="518" t="str">
        <f>'10'!T40</f>
        <v>Строительство сетей для создания технической возможности ТП потребителей в соответствии с договорами на ТП</v>
      </c>
    </row>
    <row r="45" spans="1:82" s="65" customFormat="1" ht="78.75">
      <c r="A45" s="123" t="s">
        <v>1158</v>
      </c>
      <c r="B45" s="508" t="s">
        <v>1159</v>
      </c>
      <c r="C45" s="204" t="s">
        <v>876</v>
      </c>
      <c r="D45" s="547" t="s">
        <v>876</v>
      </c>
      <c r="E45" s="252">
        <v>0</v>
      </c>
      <c r="F45" s="252">
        <v>0</v>
      </c>
      <c r="G45" s="252">
        <f t="shared" si="60"/>
        <v>0</v>
      </c>
      <c r="H45" s="252">
        <v>0</v>
      </c>
      <c r="I45" s="252">
        <v>0</v>
      </c>
      <c r="J45" s="252">
        <v>0</v>
      </c>
      <c r="K45" s="252">
        <v>0</v>
      </c>
      <c r="L45" s="250">
        <v>0</v>
      </c>
      <c r="M45" s="250">
        <v>0</v>
      </c>
      <c r="N45" s="250">
        <f>'13'!P46</f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250">
        <v>0</v>
      </c>
      <c r="AM45" s="250">
        <v>0</v>
      </c>
      <c r="AN45" s="248">
        <v>0</v>
      </c>
      <c r="AO45" s="248">
        <v>0</v>
      </c>
      <c r="AP45" s="248">
        <v>0</v>
      </c>
      <c r="AQ45" s="248">
        <v>0</v>
      </c>
      <c r="AR45" s="248">
        <v>0</v>
      </c>
      <c r="AS45" s="248">
        <v>0</v>
      </c>
      <c r="AT45" s="248">
        <v>0</v>
      </c>
      <c r="AU45" s="250">
        <v>0</v>
      </c>
      <c r="AV45" s="250">
        <v>0</v>
      </c>
      <c r="AW45" s="250">
        <f>'14'!Q40</f>
        <v>0</v>
      </c>
      <c r="AX45" s="250">
        <v>0</v>
      </c>
      <c r="AY45" s="250"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f>'14'!V40</f>
        <v>0</v>
      </c>
      <c r="BE45" s="250">
        <v>0</v>
      </c>
      <c r="BF45" s="250"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f>'14'!AA40</f>
        <v>0</v>
      </c>
      <c r="BL45" s="250"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f>'14'!AF40</f>
        <v>0.04</v>
      </c>
      <c r="BS45" s="250">
        <v>0</v>
      </c>
      <c r="BT45" s="250">
        <v>0</v>
      </c>
      <c r="BU45" s="250">
        <v>0</v>
      </c>
      <c r="BV45" s="250">
        <v>0</v>
      </c>
      <c r="BW45" s="248">
        <v>0</v>
      </c>
      <c r="BX45" s="248">
        <v>0</v>
      </c>
      <c r="BY45" s="248">
        <v>0</v>
      </c>
      <c r="BZ45" s="248">
        <v>0</v>
      </c>
      <c r="CA45" s="248">
        <v>0</v>
      </c>
      <c r="CB45" s="248">
        <v>0</v>
      </c>
      <c r="CC45" s="248">
        <v>0</v>
      </c>
      <c r="CD45" s="547" t="str">
        <f>'10'!T41</f>
        <v>Строительство сетей для создания технической возможности ТП потребителей в соответствии с договорами на ТП</v>
      </c>
    </row>
    <row r="46" spans="1:82" s="65" customFormat="1" ht="110.25">
      <c r="A46" s="123" t="s">
        <v>1158</v>
      </c>
      <c r="B46" s="508" t="s">
        <v>1160</v>
      </c>
      <c r="C46" s="204" t="s">
        <v>876</v>
      </c>
      <c r="D46" s="547" t="s">
        <v>876</v>
      </c>
      <c r="E46" s="252">
        <v>0</v>
      </c>
      <c r="F46" s="252">
        <v>0</v>
      </c>
      <c r="G46" s="252">
        <f t="shared" si="60"/>
        <v>0</v>
      </c>
      <c r="H46" s="252">
        <v>0</v>
      </c>
      <c r="I46" s="252">
        <v>0</v>
      </c>
      <c r="J46" s="252">
        <v>0</v>
      </c>
      <c r="K46" s="252">
        <v>0</v>
      </c>
      <c r="L46" s="250">
        <v>0</v>
      </c>
      <c r="M46" s="250">
        <v>0</v>
      </c>
      <c r="N46" s="250">
        <f>'13'!P47</f>
        <v>0</v>
      </c>
      <c r="O46" s="250">
        <v>0</v>
      </c>
      <c r="P46" s="250">
        <v>0</v>
      </c>
      <c r="Q46" s="250">
        <v>0</v>
      </c>
      <c r="R46" s="250">
        <v>0</v>
      </c>
      <c r="S46" s="250">
        <v>0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250">
        <v>0</v>
      </c>
      <c r="AM46" s="250">
        <v>0</v>
      </c>
      <c r="AN46" s="248">
        <v>0</v>
      </c>
      <c r="AO46" s="248">
        <v>0</v>
      </c>
      <c r="AP46" s="248">
        <v>0</v>
      </c>
      <c r="AQ46" s="248">
        <v>0</v>
      </c>
      <c r="AR46" s="248">
        <v>0</v>
      </c>
      <c r="AS46" s="248">
        <v>0</v>
      </c>
      <c r="AT46" s="248">
        <v>0</v>
      </c>
      <c r="AU46" s="250">
        <v>0</v>
      </c>
      <c r="AV46" s="250">
        <v>0</v>
      </c>
      <c r="AW46" s="250">
        <f>'14'!Q41</f>
        <v>0</v>
      </c>
      <c r="AX46" s="250">
        <v>0</v>
      </c>
      <c r="AY46" s="250"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f>'14'!V41</f>
        <v>0</v>
      </c>
      <c r="BE46" s="250">
        <v>0</v>
      </c>
      <c r="BF46" s="250"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f>'14'!AA41</f>
        <v>0</v>
      </c>
      <c r="BL46" s="250">
        <v>0</v>
      </c>
      <c r="BM46" s="250">
        <v>0</v>
      </c>
      <c r="BN46" s="250">
        <v>0</v>
      </c>
      <c r="BO46" s="250">
        <v>0</v>
      </c>
      <c r="BP46" s="250">
        <v>0</v>
      </c>
      <c r="BQ46" s="250">
        <v>0</v>
      </c>
      <c r="BR46" s="250">
        <f>'14'!AF41</f>
        <v>0.15</v>
      </c>
      <c r="BS46" s="250">
        <v>0</v>
      </c>
      <c r="BT46" s="250">
        <v>0</v>
      </c>
      <c r="BU46" s="250">
        <v>0</v>
      </c>
      <c r="BV46" s="250">
        <v>0</v>
      </c>
      <c r="BW46" s="248">
        <v>0</v>
      </c>
      <c r="BX46" s="248">
        <v>0</v>
      </c>
      <c r="BY46" s="248">
        <v>0</v>
      </c>
      <c r="BZ46" s="248">
        <v>0</v>
      </c>
      <c r="CA46" s="248">
        <v>0</v>
      </c>
      <c r="CB46" s="248">
        <v>0</v>
      </c>
      <c r="CC46" s="248">
        <v>0</v>
      </c>
      <c r="CD46" s="547" t="str">
        <f>'10'!T42</f>
        <v>Строительство сетей для создания технической возможности ТП потребителей в соответствии с договорами на ТП</v>
      </c>
    </row>
    <row r="47" spans="1:82" s="65" customFormat="1" ht="78.75">
      <c r="A47" s="123" t="s">
        <v>1158</v>
      </c>
      <c r="B47" s="508" t="s">
        <v>1161</v>
      </c>
      <c r="C47" s="204" t="s">
        <v>876</v>
      </c>
      <c r="D47" s="547" t="s">
        <v>876</v>
      </c>
      <c r="E47" s="252">
        <v>0</v>
      </c>
      <c r="F47" s="252">
        <v>0</v>
      </c>
      <c r="G47" s="252">
        <f t="shared" si="60"/>
        <v>0</v>
      </c>
      <c r="H47" s="252">
        <v>0</v>
      </c>
      <c r="I47" s="252">
        <v>0</v>
      </c>
      <c r="J47" s="252">
        <v>0</v>
      </c>
      <c r="K47" s="252">
        <v>0</v>
      </c>
      <c r="L47" s="250">
        <v>0</v>
      </c>
      <c r="M47" s="250">
        <v>0</v>
      </c>
      <c r="N47" s="250">
        <f>'13'!P48</f>
        <v>0</v>
      </c>
      <c r="O47" s="250">
        <v>0</v>
      </c>
      <c r="P47" s="250">
        <v>0</v>
      </c>
      <c r="Q47" s="250">
        <v>0</v>
      </c>
      <c r="R47" s="250">
        <v>0</v>
      </c>
      <c r="S47" s="250">
        <v>0</v>
      </c>
      <c r="T47" s="250">
        <v>0</v>
      </c>
      <c r="U47" s="250">
        <v>0</v>
      </c>
      <c r="V47" s="250">
        <v>0</v>
      </c>
      <c r="W47" s="250">
        <v>0</v>
      </c>
      <c r="X47" s="250">
        <v>0</v>
      </c>
      <c r="Y47" s="250">
        <v>0</v>
      </c>
      <c r="Z47" s="250">
        <v>0</v>
      </c>
      <c r="AA47" s="250">
        <v>0</v>
      </c>
      <c r="AB47" s="250">
        <v>0</v>
      </c>
      <c r="AC47" s="250">
        <v>0</v>
      </c>
      <c r="AD47" s="250">
        <v>0</v>
      </c>
      <c r="AE47" s="250">
        <v>0</v>
      </c>
      <c r="AF47" s="250">
        <v>0</v>
      </c>
      <c r="AG47" s="250">
        <v>0</v>
      </c>
      <c r="AH47" s="250">
        <v>0</v>
      </c>
      <c r="AI47" s="250">
        <v>0</v>
      </c>
      <c r="AJ47" s="250">
        <v>0</v>
      </c>
      <c r="AK47" s="250">
        <v>0</v>
      </c>
      <c r="AL47" s="250">
        <v>0</v>
      </c>
      <c r="AM47" s="250">
        <v>0</v>
      </c>
      <c r="AN47" s="248">
        <v>0</v>
      </c>
      <c r="AO47" s="248">
        <v>0</v>
      </c>
      <c r="AP47" s="248">
        <v>0</v>
      </c>
      <c r="AQ47" s="248">
        <v>0</v>
      </c>
      <c r="AR47" s="248">
        <v>0</v>
      </c>
      <c r="AS47" s="248">
        <v>0</v>
      </c>
      <c r="AT47" s="248">
        <v>0</v>
      </c>
      <c r="AU47" s="250">
        <v>0</v>
      </c>
      <c r="AV47" s="250">
        <v>0</v>
      </c>
      <c r="AW47" s="250">
        <f>'14'!Q42</f>
        <v>0</v>
      </c>
      <c r="AX47" s="250">
        <v>0</v>
      </c>
      <c r="AY47" s="250"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f>'14'!V42</f>
        <v>0</v>
      </c>
      <c r="BE47" s="250">
        <v>0</v>
      </c>
      <c r="BF47" s="250"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f>'14'!AA42</f>
        <v>0</v>
      </c>
      <c r="BL47" s="250">
        <v>0</v>
      </c>
      <c r="BM47" s="250">
        <v>0</v>
      </c>
      <c r="BN47" s="250">
        <v>0</v>
      </c>
      <c r="BO47" s="250">
        <v>0</v>
      </c>
      <c r="BP47" s="250">
        <v>0</v>
      </c>
      <c r="BQ47" s="250">
        <v>0</v>
      </c>
      <c r="BR47" s="250">
        <f>'14'!AF42</f>
        <v>0.06</v>
      </c>
      <c r="BS47" s="250">
        <v>0</v>
      </c>
      <c r="BT47" s="250">
        <v>0</v>
      </c>
      <c r="BU47" s="250">
        <v>0</v>
      </c>
      <c r="BV47" s="250">
        <v>0</v>
      </c>
      <c r="BW47" s="248">
        <v>0</v>
      </c>
      <c r="BX47" s="248">
        <v>0</v>
      </c>
      <c r="BY47" s="248">
        <v>0</v>
      </c>
      <c r="BZ47" s="248">
        <v>0</v>
      </c>
      <c r="CA47" s="248">
        <v>0</v>
      </c>
      <c r="CB47" s="248">
        <v>0</v>
      </c>
      <c r="CC47" s="248">
        <v>0</v>
      </c>
      <c r="CD47" s="547" t="str">
        <f>'10'!T43</f>
        <v>Строительство сетей для создания технической возможности ТП потребителей в соответствии с договорами на ТП</v>
      </c>
    </row>
    <row r="48" spans="1:82" s="65" customFormat="1" ht="78.75">
      <c r="A48" s="123" t="s">
        <v>1158</v>
      </c>
      <c r="B48" s="508" t="s">
        <v>1162</v>
      </c>
      <c r="C48" s="204" t="s">
        <v>876</v>
      </c>
      <c r="D48" s="547" t="s">
        <v>876</v>
      </c>
      <c r="E48" s="252">
        <v>0</v>
      </c>
      <c r="F48" s="252">
        <v>0</v>
      </c>
      <c r="G48" s="252">
        <f t="shared" si="60"/>
        <v>0</v>
      </c>
      <c r="H48" s="252">
        <v>0</v>
      </c>
      <c r="I48" s="252">
        <v>0</v>
      </c>
      <c r="J48" s="252">
        <v>0</v>
      </c>
      <c r="K48" s="252">
        <v>0</v>
      </c>
      <c r="L48" s="250">
        <v>0</v>
      </c>
      <c r="M48" s="250">
        <v>0</v>
      </c>
      <c r="N48" s="250">
        <f>'13'!P49</f>
        <v>0</v>
      </c>
      <c r="O48" s="250">
        <v>0</v>
      </c>
      <c r="P48" s="250">
        <v>0</v>
      </c>
      <c r="Q48" s="250">
        <v>0</v>
      </c>
      <c r="R48" s="250">
        <v>0</v>
      </c>
      <c r="S48" s="250">
        <v>0</v>
      </c>
      <c r="T48" s="250">
        <v>0</v>
      </c>
      <c r="U48" s="250"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v>0</v>
      </c>
      <c r="AA48" s="250">
        <v>0</v>
      </c>
      <c r="AB48" s="250">
        <v>0</v>
      </c>
      <c r="AC48" s="250">
        <v>0</v>
      </c>
      <c r="AD48" s="250">
        <v>0</v>
      </c>
      <c r="AE48" s="250">
        <v>0</v>
      </c>
      <c r="AF48" s="250">
        <v>0</v>
      </c>
      <c r="AG48" s="250">
        <v>0</v>
      </c>
      <c r="AH48" s="250">
        <v>0</v>
      </c>
      <c r="AI48" s="250">
        <v>0</v>
      </c>
      <c r="AJ48" s="250">
        <v>0</v>
      </c>
      <c r="AK48" s="250">
        <v>0</v>
      </c>
      <c r="AL48" s="250">
        <v>0</v>
      </c>
      <c r="AM48" s="250">
        <v>0</v>
      </c>
      <c r="AN48" s="248">
        <v>0</v>
      </c>
      <c r="AO48" s="248">
        <v>0</v>
      </c>
      <c r="AP48" s="248">
        <v>0</v>
      </c>
      <c r="AQ48" s="248">
        <v>0</v>
      </c>
      <c r="AR48" s="248">
        <v>0</v>
      </c>
      <c r="AS48" s="248">
        <v>0</v>
      </c>
      <c r="AT48" s="248">
        <v>0</v>
      </c>
      <c r="AU48" s="250">
        <v>0</v>
      </c>
      <c r="AV48" s="250">
        <v>0</v>
      </c>
      <c r="AW48" s="250">
        <f>'14'!Q43</f>
        <v>0</v>
      </c>
      <c r="AX48" s="250">
        <v>0</v>
      </c>
      <c r="AY48" s="250">
        <v>0</v>
      </c>
      <c r="AZ48" s="250">
        <v>0</v>
      </c>
      <c r="BA48" s="250">
        <v>0</v>
      </c>
      <c r="BB48" s="250">
        <v>0</v>
      </c>
      <c r="BC48" s="250">
        <v>0</v>
      </c>
      <c r="BD48" s="250">
        <f>'14'!V43</f>
        <v>0</v>
      </c>
      <c r="BE48" s="250">
        <v>0</v>
      </c>
      <c r="BF48" s="250">
        <v>0</v>
      </c>
      <c r="BG48" s="250">
        <v>0</v>
      </c>
      <c r="BH48" s="250">
        <v>0</v>
      </c>
      <c r="BI48" s="250">
        <v>0</v>
      </c>
      <c r="BJ48" s="250">
        <v>0</v>
      </c>
      <c r="BK48" s="250">
        <f>'14'!AA43</f>
        <v>0</v>
      </c>
      <c r="BL48" s="250">
        <v>0</v>
      </c>
      <c r="BM48" s="250">
        <v>0</v>
      </c>
      <c r="BN48" s="250">
        <v>0</v>
      </c>
      <c r="BO48" s="250">
        <v>0</v>
      </c>
      <c r="BP48" s="250">
        <v>0</v>
      </c>
      <c r="BQ48" s="250">
        <v>0</v>
      </c>
      <c r="BR48" s="250">
        <f>'14'!AF43</f>
        <v>0.44900000000000001</v>
      </c>
      <c r="BS48" s="250">
        <v>0</v>
      </c>
      <c r="BT48" s="250">
        <v>0</v>
      </c>
      <c r="BU48" s="250">
        <v>0</v>
      </c>
      <c r="BV48" s="250">
        <v>0</v>
      </c>
      <c r="BW48" s="248">
        <v>0</v>
      </c>
      <c r="BX48" s="248">
        <v>0</v>
      </c>
      <c r="BY48" s="248">
        <v>0</v>
      </c>
      <c r="BZ48" s="248">
        <v>0</v>
      </c>
      <c r="CA48" s="248">
        <v>0</v>
      </c>
      <c r="CB48" s="248">
        <v>0</v>
      </c>
      <c r="CC48" s="248">
        <v>0</v>
      </c>
      <c r="CD48" s="547" t="str">
        <f>'10'!T44</f>
        <v>Строительство сетей для создания технической возможности ТП потребителей в соответствии с договорами на ТП</v>
      </c>
    </row>
    <row r="49" spans="1:82" s="65" customFormat="1" ht="78.75">
      <c r="A49" s="123" t="s">
        <v>1158</v>
      </c>
      <c r="B49" s="508" t="s">
        <v>1163</v>
      </c>
      <c r="C49" s="204" t="s">
        <v>876</v>
      </c>
      <c r="D49" s="547" t="s">
        <v>876</v>
      </c>
      <c r="E49" s="252">
        <v>0</v>
      </c>
      <c r="F49" s="252">
        <v>0</v>
      </c>
      <c r="G49" s="252">
        <f t="shared" si="60"/>
        <v>0</v>
      </c>
      <c r="H49" s="252">
        <v>0</v>
      </c>
      <c r="I49" s="252">
        <v>0</v>
      </c>
      <c r="J49" s="252">
        <v>0</v>
      </c>
      <c r="K49" s="252">
        <v>0</v>
      </c>
      <c r="L49" s="250">
        <v>0</v>
      </c>
      <c r="M49" s="250">
        <v>0</v>
      </c>
      <c r="N49" s="250">
        <f>'13'!P50</f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</v>
      </c>
      <c r="T49" s="250">
        <v>0</v>
      </c>
      <c r="U49" s="250">
        <v>0</v>
      </c>
      <c r="V49" s="250">
        <v>0</v>
      </c>
      <c r="W49" s="250">
        <v>0</v>
      </c>
      <c r="X49" s="250">
        <v>0</v>
      </c>
      <c r="Y49" s="250">
        <v>0</v>
      </c>
      <c r="Z49" s="250">
        <v>0</v>
      </c>
      <c r="AA49" s="250">
        <v>0</v>
      </c>
      <c r="AB49" s="250">
        <v>0</v>
      </c>
      <c r="AC49" s="250">
        <v>0</v>
      </c>
      <c r="AD49" s="250">
        <v>0</v>
      </c>
      <c r="AE49" s="250">
        <v>0</v>
      </c>
      <c r="AF49" s="250">
        <v>0</v>
      </c>
      <c r="AG49" s="250">
        <v>0</v>
      </c>
      <c r="AH49" s="250">
        <v>0</v>
      </c>
      <c r="AI49" s="250">
        <v>0</v>
      </c>
      <c r="AJ49" s="250">
        <v>0</v>
      </c>
      <c r="AK49" s="250">
        <v>0</v>
      </c>
      <c r="AL49" s="250">
        <v>0</v>
      </c>
      <c r="AM49" s="250">
        <v>0</v>
      </c>
      <c r="AN49" s="248">
        <v>0</v>
      </c>
      <c r="AO49" s="248">
        <v>0</v>
      </c>
      <c r="AP49" s="248">
        <v>0</v>
      </c>
      <c r="AQ49" s="248">
        <v>0</v>
      </c>
      <c r="AR49" s="248">
        <v>0</v>
      </c>
      <c r="AS49" s="248">
        <v>0</v>
      </c>
      <c r="AT49" s="248">
        <v>0</v>
      </c>
      <c r="AU49" s="250">
        <v>0</v>
      </c>
      <c r="AV49" s="250">
        <v>0</v>
      </c>
      <c r="AW49" s="250">
        <f>'14'!Q44</f>
        <v>0</v>
      </c>
      <c r="AX49" s="250">
        <v>0</v>
      </c>
      <c r="AY49" s="250">
        <v>0</v>
      </c>
      <c r="AZ49" s="250">
        <v>0</v>
      </c>
      <c r="BA49" s="250">
        <v>0</v>
      </c>
      <c r="BB49" s="250">
        <v>0</v>
      </c>
      <c r="BC49" s="250">
        <v>0</v>
      </c>
      <c r="BD49" s="250">
        <f>'14'!V44</f>
        <v>0</v>
      </c>
      <c r="BE49" s="250">
        <v>0</v>
      </c>
      <c r="BF49" s="250">
        <v>0</v>
      </c>
      <c r="BG49" s="250">
        <v>0</v>
      </c>
      <c r="BH49" s="250">
        <v>0</v>
      </c>
      <c r="BI49" s="250">
        <v>0</v>
      </c>
      <c r="BJ49" s="250">
        <v>0</v>
      </c>
      <c r="BK49" s="250">
        <f>'14'!AA44</f>
        <v>0</v>
      </c>
      <c r="BL49" s="250">
        <v>0</v>
      </c>
      <c r="BM49" s="250">
        <v>0</v>
      </c>
      <c r="BN49" s="250">
        <v>0</v>
      </c>
      <c r="BO49" s="250">
        <v>0</v>
      </c>
      <c r="BP49" s="250">
        <v>0</v>
      </c>
      <c r="BQ49" s="250">
        <v>0</v>
      </c>
      <c r="BR49" s="250">
        <f>'14'!AF44</f>
        <v>0.04</v>
      </c>
      <c r="BS49" s="250">
        <v>0</v>
      </c>
      <c r="BT49" s="250">
        <v>0</v>
      </c>
      <c r="BU49" s="250">
        <v>0</v>
      </c>
      <c r="BV49" s="250">
        <v>0</v>
      </c>
      <c r="BW49" s="248">
        <v>0</v>
      </c>
      <c r="BX49" s="248">
        <v>0</v>
      </c>
      <c r="BY49" s="248">
        <v>0</v>
      </c>
      <c r="BZ49" s="248">
        <v>0</v>
      </c>
      <c r="CA49" s="248">
        <v>0</v>
      </c>
      <c r="CB49" s="248">
        <v>0</v>
      </c>
      <c r="CC49" s="248">
        <v>0</v>
      </c>
      <c r="CD49" s="547" t="str">
        <f>'10'!T45</f>
        <v>Строительство сетей для создания технической возможности ТП потребителей в соответствии с договорами на ТП</v>
      </c>
    </row>
    <row r="50" spans="1:82" s="65" customFormat="1" ht="63.75" customHeight="1">
      <c r="A50" s="123" t="s">
        <v>1158</v>
      </c>
      <c r="B50" s="508" t="s">
        <v>1164</v>
      </c>
      <c r="C50" s="204" t="s">
        <v>876</v>
      </c>
      <c r="D50" s="512" t="s">
        <v>876</v>
      </c>
      <c r="E50" s="252">
        <v>0</v>
      </c>
      <c r="F50" s="252">
        <v>0</v>
      </c>
      <c r="G50" s="252">
        <f t="shared" si="60"/>
        <v>0</v>
      </c>
      <c r="H50" s="252">
        <v>0</v>
      </c>
      <c r="I50" s="252">
        <v>0</v>
      </c>
      <c r="J50" s="252">
        <v>0</v>
      </c>
      <c r="K50" s="252">
        <v>0</v>
      </c>
      <c r="L50" s="250">
        <v>0</v>
      </c>
      <c r="M50" s="250">
        <v>0</v>
      </c>
      <c r="N50" s="250">
        <f>'13'!P51</f>
        <v>0</v>
      </c>
      <c r="O50" s="250">
        <v>0</v>
      </c>
      <c r="P50" s="250">
        <v>0</v>
      </c>
      <c r="Q50" s="250">
        <v>0</v>
      </c>
      <c r="R50" s="250">
        <v>0</v>
      </c>
      <c r="S50" s="250">
        <v>0</v>
      </c>
      <c r="T50" s="250">
        <v>0</v>
      </c>
      <c r="U50" s="250">
        <v>0</v>
      </c>
      <c r="V50" s="250">
        <v>0</v>
      </c>
      <c r="W50" s="250">
        <v>0</v>
      </c>
      <c r="X50" s="250">
        <v>0</v>
      </c>
      <c r="Y50" s="250">
        <v>0</v>
      </c>
      <c r="Z50" s="250">
        <v>0</v>
      </c>
      <c r="AA50" s="250">
        <v>0</v>
      </c>
      <c r="AB50" s="250">
        <v>0</v>
      </c>
      <c r="AC50" s="250">
        <v>0</v>
      </c>
      <c r="AD50" s="250">
        <v>0</v>
      </c>
      <c r="AE50" s="250">
        <v>0</v>
      </c>
      <c r="AF50" s="250">
        <v>0</v>
      </c>
      <c r="AG50" s="250">
        <v>0</v>
      </c>
      <c r="AH50" s="250">
        <v>0</v>
      </c>
      <c r="AI50" s="250">
        <v>0</v>
      </c>
      <c r="AJ50" s="250">
        <v>0</v>
      </c>
      <c r="AK50" s="250">
        <v>0</v>
      </c>
      <c r="AL50" s="250">
        <v>0</v>
      </c>
      <c r="AM50" s="250">
        <v>0</v>
      </c>
      <c r="AN50" s="248">
        <v>0</v>
      </c>
      <c r="AO50" s="248">
        <v>0</v>
      </c>
      <c r="AP50" s="248">
        <v>0</v>
      </c>
      <c r="AQ50" s="248">
        <v>0</v>
      </c>
      <c r="AR50" s="248">
        <v>0</v>
      </c>
      <c r="AS50" s="248">
        <v>0</v>
      </c>
      <c r="AT50" s="248">
        <v>0</v>
      </c>
      <c r="AU50" s="250">
        <v>0</v>
      </c>
      <c r="AV50" s="250">
        <v>0</v>
      </c>
      <c r="AW50" s="250">
        <f>'14'!Q45</f>
        <v>0</v>
      </c>
      <c r="AX50" s="250">
        <v>0</v>
      </c>
      <c r="AY50" s="250">
        <v>0</v>
      </c>
      <c r="AZ50" s="250">
        <v>0</v>
      </c>
      <c r="BA50" s="250">
        <v>0</v>
      </c>
      <c r="BB50" s="250">
        <v>0</v>
      </c>
      <c r="BC50" s="250">
        <v>0</v>
      </c>
      <c r="BD50" s="250">
        <f>'14'!V45</f>
        <v>0</v>
      </c>
      <c r="BE50" s="250">
        <v>0</v>
      </c>
      <c r="BF50" s="250">
        <v>0</v>
      </c>
      <c r="BG50" s="250">
        <v>0</v>
      </c>
      <c r="BH50" s="250">
        <v>0</v>
      </c>
      <c r="BI50" s="250">
        <v>0</v>
      </c>
      <c r="BJ50" s="250">
        <v>0</v>
      </c>
      <c r="BK50" s="250">
        <f>'14'!AA45</f>
        <v>0</v>
      </c>
      <c r="BL50" s="250">
        <v>0</v>
      </c>
      <c r="BM50" s="250">
        <v>0</v>
      </c>
      <c r="BN50" s="250">
        <v>0</v>
      </c>
      <c r="BO50" s="250">
        <v>0</v>
      </c>
      <c r="BP50" s="250">
        <v>0</v>
      </c>
      <c r="BQ50" s="250">
        <v>0</v>
      </c>
      <c r="BR50" s="250">
        <f>'14'!AF45</f>
        <v>0</v>
      </c>
      <c r="BS50" s="250">
        <v>0</v>
      </c>
      <c r="BT50" s="250">
        <v>0</v>
      </c>
      <c r="BU50" s="250">
        <v>0</v>
      </c>
      <c r="BV50" s="250">
        <v>0</v>
      </c>
      <c r="BW50" s="248">
        <v>0</v>
      </c>
      <c r="BX50" s="248">
        <v>0</v>
      </c>
      <c r="BY50" s="248">
        <v>0</v>
      </c>
      <c r="BZ50" s="248">
        <v>0</v>
      </c>
      <c r="CA50" s="248">
        <v>0</v>
      </c>
      <c r="CB50" s="248">
        <v>0</v>
      </c>
      <c r="CC50" s="248">
        <v>0</v>
      </c>
      <c r="CD50" s="518" t="str">
        <f>'10'!T46</f>
        <v>Строительство сетей для создания технической возможности ТП потребителей в соответствии с договорами на ТП</v>
      </c>
    </row>
    <row r="51" spans="1:82" s="65" customFormat="1" ht="110.25">
      <c r="A51" s="237" t="s">
        <v>392</v>
      </c>
      <c r="B51" s="238" t="s">
        <v>893</v>
      </c>
      <c r="C51" s="202" t="s">
        <v>876</v>
      </c>
      <c r="D51" s="163" t="s">
        <v>876</v>
      </c>
      <c r="E51" s="252">
        <v>0</v>
      </c>
      <c r="F51" s="252">
        <v>0</v>
      </c>
      <c r="G51" s="252">
        <f t="shared" si="60"/>
        <v>0</v>
      </c>
      <c r="H51" s="252">
        <v>0</v>
      </c>
      <c r="I51" s="252">
        <v>0</v>
      </c>
      <c r="J51" s="252">
        <v>0</v>
      </c>
      <c r="K51" s="252">
        <v>0</v>
      </c>
      <c r="L51" s="250">
        <v>0</v>
      </c>
      <c r="M51" s="250">
        <v>0</v>
      </c>
      <c r="N51" s="250">
        <f>'13'!P52</f>
        <v>0</v>
      </c>
      <c r="O51" s="250">
        <v>0</v>
      </c>
      <c r="P51" s="250">
        <v>0</v>
      </c>
      <c r="Q51" s="250">
        <v>0</v>
      </c>
      <c r="R51" s="250">
        <v>0</v>
      </c>
      <c r="S51" s="250">
        <v>0</v>
      </c>
      <c r="T51" s="250">
        <v>0</v>
      </c>
      <c r="U51" s="250">
        <v>0</v>
      </c>
      <c r="V51" s="250">
        <v>0</v>
      </c>
      <c r="W51" s="250">
        <v>0</v>
      </c>
      <c r="X51" s="250">
        <v>0</v>
      </c>
      <c r="Y51" s="250">
        <v>0</v>
      </c>
      <c r="Z51" s="250">
        <v>0</v>
      </c>
      <c r="AA51" s="250">
        <v>0</v>
      </c>
      <c r="AB51" s="250">
        <v>0</v>
      </c>
      <c r="AC51" s="250">
        <v>0</v>
      </c>
      <c r="AD51" s="250">
        <v>0</v>
      </c>
      <c r="AE51" s="250">
        <v>0</v>
      </c>
      <c r="AF51" s="250">
        <v>0</v>
      </c>
      <c r="AG51" s="250">
        <v>0</v>
      </c>
      <c r="AH51" s="250">
        <v>0</v>
      </c>
      <c r="AI51" s="250">
        <v>0</v>
      </c>
      <c r="AJ51" s="250">
        <v>0</v>
      </c>
      <c r="AK51" s="250">
        <v>0</v>
      </c>
      <c r="AL51" s="250">
        <v>0</v>
      </c>
      <c r="AM51" s="250">
        <v>0</v>
      </c>
      <c r="AN51" s="248">
        <f t="shared" si="5"/>
        <v>0</v>
      </c>
      <c r="AO51" s="248">
        <f t="shared" si="6"/>
        <v>0</v>
      </c>
      <c r="AP51" s="248">
        <f t="shared" si="7"/>
        <v>1.3099999999999998</v>
      </c>
      <c r="AQ51" s="248">
        <f t="shared" si="8"/>
        <v>0</v>
      </c>
      <c r="AR51" s="248">
        <f t="shared" si="9"/>
        <v>0.33799999999999997</v>
      </c>
      <c r="AS51" s="248">
        <f>AZ51+BG51+BN51+BU51</f>
        <v>0</v>
      </c>
      <c r="AT51" s="248">
        <f t="shared" si="11"/>
        <v>0</v>
      </c>
      <c r="AU51" s="250">
        <f t="shared" ref="AU51:BQ51" si="61">SUM(AU52:AU57)</f>
        <v>0</v>
      </c>
      <c r="AV51" s="250">
        <f t="shared" si="61"/>
        <v>0</v>
      </c>
      <c r="AW51" s="250">
        <f t="shared" si="61"/>
        <v>0</v>
      </c>
      <c r="AX51" s="250">
        <f t="shared" si="61"/>
        <v>0</v>
      </c>
      <c r="AY51" s="250">
        <f t="shared" si="61"/>
        <v>0</v>
      </c>
      <c r="AZ51" s="250">
        <f t="shared" si="61"/>
        <v>0</v>
      </c>
      <c r="BA51" s="250">
        <f t="shared" si="61"/>
        <v>0</v>
      </c>
      <c r="BB51" s="250">
        <f t="shared" si="61"/>
        <v>0</v>
      </c>
      <c r="BC51" s="250">
        <f t="shared" si="61"/>
        <v>0</v>
      </c>
      <c r="BD51" s="250">
        <f t="shared" si="61"/>
        <v>8.5000000000000006E-2</v>
      </c>
      <c r="BE51" s="250">
        <f t="shared" si="61"/>
        <v>0</v>
      </c>
      <c r="BF51" s="250">
        <f t="shared" si="61"/>
        <v>0</v>
      </c>
      <c r="BG51" s="250">
        <f t="shared" si="61"/>
        <v>0</v>
      </c>
      <c r="BH51" s="250">
        <f t="shared" si="61"/>
        <v>0</v>
      </c>
      <c r="BI51" s="250">
        <f t="shared" si="61"/>
        <v>0</v>
      </c>
      <c r="BJ51" s="250">
        <f t="shared" si="61"/>
        <v>0</v>
      </c>
      <c r="BK51" s="250">
        <f t="shared" si="61"/>
        <v>0.24000000000000002</v>
      </c>
      <c r="BL51" s="250">
        <f t="shared" si="61"/>
        <v>0</v>
      </c>
      <c r="BM51" s="250">
        <f t="shared" si="61"/>
        <v>0</v>
      </c>
      <c r="BN51" s="250">
        <f t="shared" si="61"/>
        <v>0</v>
      </c>
      <c r="BO51" s="250">
        <f t="shared" si="61"/>
        <v>0</v>
      </c>
      <c r="BP51" s="250">
        <f t="shared" si="61"/>
        <v>0</v>
      </c>
      <c r="BQ51" s="250">
        <f t="shared" si="61"/>
        <v>0</v>
      </c>
      <c r="BR51" s="250">
        <f>SUM(BR52:BR57)</f>
        <v>0.98499999999999988</v>
      </c>
      <c r="BS51" s="250">
        <f t="shared" ref="BS51:BV51" si="62">SUM(BS52:BS57)</f>
        <v>0</v>
      </c>
      <c r="BT51" s="250">
        <f t="shared" si="62"/>
        <v>0.33799999999999997</v>
      </c>
      <c r="BU51" s="250">
        <f t="shared" si="62"/>
        <v>0</v>
      </c>
      <c r="BV51" s="250">
        <f t="shared" si="62"/>
        <v>0</v>
      </c>
      <c r="BW51" s="248">
        <f t="shared" si="13"/>
        <v>0</v>
      </c>
      <c r="BX51" s="248">
        <f t="shared" si="14"/>
        <v>0</v>
      </c>
      <c r="BY51" s="248">
        <f>G51-AP51</f>
        <v>-1.3099999999999998</v>
      </c>
      <c r="BZ51" s="248">
        <f t="shared" si="16"/>
        <v>0</v>
      </c>
      <c r="CA51" s="248">
        <f t="shared" si="17"/>
        <v>-0.33799999999999997</v>
      </c>
      <c r="CB51" s="248">
        <f t="shared" si="18"/>
        <v>0</v>
      </c>
      <c r="CC51" s="248">
        <f t="shared" si="19"/>
        <v>0</v>
      </c>
      <c r="CD51" s="136">
        <f>'10'!T47</f>
        <v>0</v>
      </c>
    </row>
    <row r="52" spans="1:82" s="65" customFormat="1" ht="78.75">
      <c r="A52" s="240" t="s">
        <v>1094</v>
      </c>
      <c r="B52" s="129" t="s">
        <v>1095</v>
      </c>
      <c r="C52" s="202" t="s">
        <v>876</v>
      </c>
      <c r="D52" s="163" t="s">
        <v>876</v>
      </c>
      <c r="E52" s="252">
        <v>0</v>
      </c>
      <c r="F52" s="252">
        <v>0</v>
      </c>
      <c r="G52" s="252">
        <f t="shared" si="60"/>
        <v>0</v>
      </c>
      <c r="H52" s="252">
        <v>0</v>
      </c>
      <c r="I52" s="252">
        <v>0</v>
      </c>
      <c r="J52" s="252">
        <v>0</v>
      </c>
      <c r="K52" s="252">
        <v>0</v>
      </c>
      <c r="L52" s="250">
        <v>0</v>
      </c>
      <c r="M52" s="250">
        <v>0</v>
      </c>
      <c r="N52" s="250">
        <f>'13'!P53</f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250">
        <v>0</v>
      </c>
      <c r="X52" s="250">
        <v>0</v>
      </c>
      <c r="Y52" s="250">
        <v>0</v>
      </c>
      <c r="Z52" s="250">
        <v>0</v>
      </c>
      <c r="AA52" s="250">
        <v>0</v>
      </c>
      <c r="AB52" s="250">
        <v>0</v>
      </c>
      <c r="AC52" s="250">
        <v>0</v>
      </c>
      <c r="AD52" s="250">
        <v>0</v>
      </c>
      <c r="AE52" s="250">
        <v>0</v>
      </c>
      <c r="AF52" s="250">
        <v>0</v>
      </c>
      <c r="AG52" s="250">
        <v>0</v>
      </c>
      <c r="AH52" s="250">
        <v>0</v>
      </c>
      <c r="AI52" s="250">
        <v>0</v>
      </c>
      <c r="AJ52" s="250">
        <v>0</v>
      </c>
      <c r="AK52" s="250">
        <v>0</v>
      </c>
      <c r="AL52" s="250">
        <v>0</v>
      </c>
      <c r="AM52" s="250">
        <v>0</v>
      </c>
      <c r="AN52" s="248">
        <f t="shared" ref="AN52:AN57" si="63">AU52+BB52+BI52+BP52</f>
        <v>0</v>
      </c>
      <c r="AO52" s="248">
        <f t="shared" ref="AO52:AO57" si="64">AV52+BC52+BJ52+BQ52</f>
        <v>0</v>
      </c>
      <c r="AP52" s="248">
        <f t="shared" ref="AP52:AP57" si="65">AW52+BD52+BK52+BR52</f>
        <v>8.5000000000000006E-2</v>
      </c>
      <c r="AQ52" s="248">
        <f t="shared" ref="AQ52:AQ57" si="66">AX52+BE52+BL52+BS52</f>
        <v>0</v>
      </c>
      <c r="AR52" s="248">
        <f t="shared" ref="AR52:AR57" si="67">AY52+BF52+BM52+BT52</f>
        <v>0</v>
      </c>
      <c r="AS52" s="248">
        <f t="shared" ref="AS52:AS57" si="68">AZ52+BG52+BN52+BU52</f>
        <v>0</v>
      </c>
      <c r="AT52" s="248">
        <f t="shared" ref="AT52:AT57" si="69">BA52+BH52+BO52+BV52</f>
        <v>0</v>
      </c>
      <c r="AU52" s="250">
        <v>0</v>
      </c>
      <c r="AV52" s="250">
        <v>0</v>
      </c>
      <c r="AW52" s="250">
        <f>'14'!Q47</f>
        <v>0</v>
      </c>
      <c r="AX52" s="250">
        <v>0</v>
      </c>
      <c r="AY52" s="250">
        <v>0</v>
      </c>
      <c r="AZ52" s="250">
        <v>0</v>
      </c>
      <c r="BA52" s="250">
        <v>0</v>
      </c>
      <c r="BB52" s="250">
        <v>0</v>
      </c>
      <c r="BC52" s="250">
        <v>0</v>
      </c>
      <c r="BD52" s="250">
        <f>'14'!V47</f>
        <v>8.5000000000000006E-2</v>
      </c>
      <c r="BE52" s="250">
        <v>0</v>
      </c>
      <c r="BF52" s="250">
        <v>0</v>
      </c>
      <c r="BG52" s="250">
        <v>0</v>
      </c>
      <c r="BH52" s="250">
        <v>0</v>
      </c>
      <c r="BI52" s="250">
        <v>0</v>
      </c>
      <c r="BJ52" s="250">
        <v>0</v>
      </c>
      <c r="BK52" s="250">
        <f>'14'!AA47</f>
        <v>0</v>
      </c>
      <c r="BL52" s="250">
        <v>0</v>
      </c>
      <c r="BM52" s="250">
        <v>0</v>
      </c>
      <c r="BN52" s="250">
        <v>0</v>
      </c>
      <c r="BO52" s="250">
        <v>0</v>
      </c>
      <c r="BP52" s="250">
        <v>0</v>
      </c>
      <c r="BQ52" s="250">
        <v>0</v>
      </c>
      <c r="BR52" s="250">
        <f>'14'!AF47</f>
        <v>0</v>
      </c>
      <c r="BS52" s="250">
        <v>0</v>
      </c>
      <c r="BT52" s="250">
        <v>0</v>
      </c>
      <c r="BU52" s="250">
        <v>0</v>
      </c>
      <c r="BV52" s="250">
        <v>0</v>
      </c>
      <c r="BW52" s="248">
        <v>0</v>
      </c>
      <c r="BX52" s="248">
        <v>0</v>
      </c>
      <c r="BY52" s="248">
        <v>0</v>
      </c>
      <c r="BZ52" s="248">
        <v>0</v>
      </c>
      <c r="CA52" s="248">
        <v>0</v>
      </c>
      <c r="CB52" s="248">
        <v>0</v>
      </c>
      <c r="CC52" s="248">
        <v>0</v>
      </c>
      <c r="CD52" s="518" t="str">
        <f>'10'!T48</f>
        <v>Строительство сетей для создания технической возможности ТП потребителей в соответствии с договорами на ТП</v>
      </c>
    </row>
    <row r="53" spans="1:82" s="65" customFormat="1" ht="94.5">
      <c r="A53" s="240" t="s">
        <v>1096</v>
      </c>
      <c r="B53" s="129" t="s">
        <v>1149</v>
      </c>
      <c r="C53" s="202" t="s">
        <v>876</v>
      </c>
      <c r="D53" s="163" t="s">
        <v>876</v>
      </c>
      <c r="E53" s="252">
        <v>0</v>
      </c>
      <c r="F53" s="252">
        <v>0</v>
      </c>
      <c r="G53" s="252">
        <f t="shared" si="60"/>
        <v>0</v>
      </c>
      <c r="H53" s="252">
        <v>0</v>
      </c>
      <c r="I53" s="252">
        <v>0</v>
      </c>
      <c r="J53" s="252">
        <v>0</v>
      </c>
      <c r="K53" s="252">
        <v>0</v>
      </c>
      <c r="L53" s="250">
        <v>0</v>
      </c>
      <c r="M53" s="250">
        <v>0</v>
      </c>
      <c r="N53" s="250">
        <f>'13'!P54</f>
        <v>0</v>
      </c>
      <c r="O53" s="250">
        <v>0</v>
      </c>
      <c r="P53" s="250">
        <v>0</v>
      </c>
      <c r="Q53" s="250">
        <v>0</v>
      </c>
      <c r="R53" s="250">
        <v>0</v>
      </c>
      <c r="S53" s="250">
        <v>0</v>
      </c>
      <c r="T53" s="250">
        <v>0</v>
      </c>
      <c r="U53" s="250">
        <v>0</v>
      </c>
      <c r="V53" s="250">
        <v>0</v>
      </c>
      <c r="W53" s="250">
        <v>0</v>
      </c>
      <c r="X53" s="250">
        <v>0</v>
      </c>
      <c r="Y53" s="250">
        <v>0</v>
      </c>
      <c r="Z53" s="250">
        <v>0</v>
      </c>
      <c r="AA53" s="250">
        <v>0</v>
      </c>
      <c r="AB53" s="250">
        <v>0</v>
      </c>
      <c r="AC53" s="250">
        <v>0</v>
      </c>
      <c r="AD53" s="250">
        <v>0</v>
      </c>
      <c r="AE53" s="250">
        <v>0</v>
      </c>
      <c r="AF53" s="250">
        <v>0</v>
      </c>
      <c r="AG53" s="250">
        <v>0</v>
      </c>
      <c r="AH53" s="250">
        <v>0</v>
      </c>
      <c r="AI53" s="250">
        <v>0</v>
      </c>
      <c r="AJ53" s="250">
        <v>0</v>
      </c>
      <c r="AK53" s="250">
        <v>0</v>
      </c>
      <c r="AL53" s="250">
        <v>0</v>
      </c>
      <c r="AM53" s="250">
        <v>0</v>
      </c>
      <c r="AN53" s="248">
        <f t="shared" si="63"/>
        <v>0</v>
      </c>
      <c r="AO53" s="248">
        <f t="shared" si="64"/>
        <v>0</v>
      </c>
      <c r="AP53" s="248">
        <f t="shared" si="65"/>
        <v>0.1</v>
      </c>
      <c r="AQ53" s="248">
        <f t="shared" si="66"/>
        <v>0</v>
      </c>
      <c r="AR53" s="248">
        <f t="shared" si="67"/>
        <v>0</v>
      </c>
      <c r="AS53" s="248">
        <f t="shared" si="68"/>
        <v>0</v>
      </c>
      <c r="AT53" s="248">
        <f t="shared" si="69"/>
        <v>0</v>
      </c>
      <c r="AU53" s="250">
        <v>0</v>
      </c>
      <c r="AV53" s="250">
        <v>0</v>
      </c>
      <c r="AW53" s="250">
        <f>'14'!Q48</f>
        <v>0</v>
      </c>
      <c r="AX53" s="250">
        <v>0</v>
      </c>
      <c r="AY53" s="250">
        <v>0</v>
      </c>
      <c r="AZ53" s="250">
        <v>0</v>
      </c>
      <c r="BA53" s="250">
        <v>0</v>
      </c>
      <c r="BB53" s="250">
        <v>0</v>
      </c>
      <c r="BC53" s="250">
        <v>0</v>
      </c>
      <c r="BD53" s="250">
        <f>'14'!V48</f>
        <v>0</v>
      </c>
      <c r="BE53" s="250">
        <v>0</v>
      </c>
      <c r="BF53" s="250">
        <v>0</v>
      </c>
      <c r="BG53" s="250">
        <v>0</v>
      </c>
      <c r="BH53" s="250">
        <v>0</v>
      </c>
      <c r="BI53" s="250">
        <v>0</v>
      </c>
      <c r="BJ53" s="250">
        <v>0</v>
      </c>
      <c r="BK53" s="250">
        <f>'14'!AA48</f>
        <v>0.1</v>
      </c>
      <c r="BL53" s="250">
        <v>0</v>
      </c>
      <c r="BM53" s="250">
        <v>0</v>
      </c>
      <c r="BN53" s="250">
        <v>0</v>
      </c>
      <c r="BO53" s="250">
        <v>0</v>
      </c>
      <c r="BP53" s="250">
        <v>0</v>
      </c>
      <c r="BQ53" s="250">
        <v>0</v>
      </c>
      <c r="BR53" s="250">
        <f>'14'!AF48</f>
        <v>0</v>
      </c>
      <c r="BS53" s="250">
        <v>0</v>
      </c>
      <c r="BT53" s="250">
        <v>0</v>
      </c>
      <c r="BU53" s="250">
        <v>0</v>
      </c>
      <c r="BV53" s="250">
        <v>0</v>
      </c>
      <c r="BW53" s="248">
        <v>0</v>
      </c>
      <c r="BX53" s="248">
        <v>0</v>
      </c>
      <c r="BY53" s="248">
        <v>0</v>
      </c>
      <c r="BZ53" s="248">
        <v>0</v>
      </c>
      <c r="CA53" s="248">
        <v>0</v>
      </c>
      <c r="CB53" s="248">
        <v>0</v>
      </c>
      <c r="CC53" s="248">
        <v>0</v>
      </c>
      <c r="CD53" s="518" t="str">
        <f>'10'!T49</f>
        <v>Строительство сетей для создания технической возможности ТП потребителей в соответствии с договорами на ТП</v>
      </c>
    </row>
    <row r="54" spans="1:82" s="65" customFormat="1" ht="94.5">
      <c r="A54" s="240" t="s">
        <v>1097</v>
      </c>
      <c r="B54" s="129" t="s">
        <v>1165</v>
      </c>
      <c r="C54" s="202" t="s">
        <v>876</v>
      </c>
      <c r="D54" s="163" t="s">
        <v>876</v>
      </c>
      <c r="E54" s="252">
        <v>0</v>
      </c>
      <c r="F54" s="252">
        <v>0</v>
      </c>
      <c r="G54" s="252">
        <f t="shared" si="60"/>
        <v>0</v>
      </c>
      <c r="H54" s="252">
        <v>0</v>
      </c>
      <c r="I54" s="252">
        <v>0</v>
      </c>
      <c r="J54" s="252">
        <v>0</v>
      </c>
      <c r="K54" s="252">
        <v>0</v>
      </c>
      <c r="L54" s="250">
        <v>0</v>
      </c>
      <c r="M54" s="250">
        <v>0</v>
      </c>
      <c r="N54" s="250">
        <f>'13'!P55</f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0</v>
      </c>
      <c r="V54" s="250">
        <v>0</v>
      </c>
      <c r="W54" s="250">
        <v>0</v>
      </c>
      <c r="X54" s="250">
        <v>0</v>
      </c>
      <c r="Y54" s="250">
        <v>0</v>
      </c>
      <c r="Z54" s="250">
        <v>0</v>
      </c>
      <c r="AA54" s="250">
        <v>0</v>
      </c>
      <c r="AB54" s="250">
        <v>0</v>
      </c>
      <c r="AC54" s="250">
        <v>0</v>
      </c>
      <c r="AD54" s="250">
        <v>0</v>
      </c>
      <c r="AE54" s="250">
        <v>0</v>
      </c>
      <c r="AF54" s="250">
        <v>0</v>
      </c>
      <c r="AG54" s="250">
        <v>0</v>
      </c>
      <c r="AH54" s="250">
        <v>0</v>
      </c>
      <c r="AI54" s="250">
        <v>0</v>
      </c>
      <c r="AJ54" s="250">
        <v>0</v>
      </c>
      <c r="AK54" s="250">
        <v>0</v>
      </c>
      <c r="AL54" s="250">
        <v>0</v>
      </c>
      <c r="AM54" s="250">
        <v>0</v>
      </c>
      <c r="AN54" s="248">
        <f t="shared" si="63"/>
        <v>0</v>
      </c>
      <c r="AO54" s="248">
        <f t="shared" si="64"/>
        <v>0</v>
      </c>
      <c r="AP54" s="248">
        <f t="shared" si="65"/>
        <v>0.14000000000000001</v>
      </c>
      <c r="AQ54" s="248">
        <f t="shared" si="66"/>
        <v>0</v>
      </c>
      <c r="AR54" s="248">
        <f t="shared" si="67"/>
        <v>0</v>
      </c>
      <c r="AS54" s="248">
        <f t="shared" si="68"/>
        <v>0</v>
      </c>
      <c r="AT54" s="248">
        <f t="shared" si="69"/>
        <v>0</v>
      </c>
      <c r="AU54" s="250">
        <v>0</v>
      </c>
      <c r="AV54" s="250">
        <v>0</v>
      </c>
      <c r="AW54" s="250">
        <f>'14'!Q49</f>
        <v>0</v>
      </c>
      <c r="AX54" s="250">
        <v>0</v>
      </c>
      <c r="AY54" s="250">
        <v>0</v>
      </c>
      <c r="AZ54" s="250">
        <v>0</v>
      </c>
      <c r="BA54" s="250">
        <v>0</v>
      </c>
      <c r="BB54" s="250">
        <v>0</v>
      </c>
      <c r="BC54" s="250">
        <v>0</v>
      </c>
      <c r="BD54" s="250">
        <f>'14'!V49</f>
        <v>0</v>
      </c>
      <c r="BE54" s="250">
        <v>0</v>
      </c>
      <c r="BF54" s="250">
        <v>0</v>
      </c>
      <c r="BG54" s="250">
        <v>0</v>
      </c>
      <c r="BH54" s="250">
        <v>0</v>
      </c>
      <c r="BI54" s="250">
        <v>0</v>
      </c>
      <c r="BJ54" s="250">
        <v>0</v>
      </c>
      <c r="BK54" s="250">
        <f>'14'!AA49</f>
        <v>0.14000000000000001</v>
      </c>
      <c r="BL54" s="250">
        <v>0</v>
      </c>
      <c r="BM54" s="250">
        <v>0</v>
      </c>
      <c r="BN54" s="250">
        <v>0</v>
      </c>
      <c r="BO54" s="250">
        <v>0</v>
      </c>
      <c r="BP54" s="250">
        <v>0</v>
      </c>
      <c r="BQ54" s="250">
        <v>0</v>
      </c>
      <c r="BR54" s="250">
        <f>'14'!AF49</f>
        <v>0</v>
      </c>
      <c r="BS54" s="250">
        <v>0</v>
      </c>
      <c r="BT54" s="250">
        <v>0</v>
      </c>
      <c r="BU54" s="250">
        <v>0</v>
      </c>
      <c r="BV54" s="250">
        <v>0</v>
      </c>
      <c r="BW54" s="248">
        <v>0</v>
      </c>
      <c r="BX54" s="248">
        <v>0</v>
      </c>
      <c r="BY54" s="248">
        <v>0</v>
      </c>
      <c r="BZ54" s="248">
        <v>0</v>
      </c>
      <c r="CA54" s="248">
        <v>0</v>
      </c>
      <c r="CB54" s="248">
        <v>0</v>
      </c>
      <c r="CC54" s="248">
        <v>0</v>
      </c>
      <c r="CD54" s="518" t="str">
        <f>'10'!T50</f>
        <v>Строительство сетей для создания технической возможности ТП потребителей в соответствии с договорами на ТП</v>
      </c>
    </row>
    <row r="55" spans="1:82" s="65" customFormat="1" ht="94.5">
      <c r="A55" s="240" t="s">
        <v>1098</v>
      </c>
      <c r="B55" s="129" t="s">
        <v>1151</v>
      </c>
      <c r="C55" s="202" t="s">
        <v>876</v>
      </c>
      <c r="D55" s="163" t="s">
        <v>876</v>
      </c>
      <c r="E55" s="252">
        <v>0</v>
      </c>
      <c r="F55" s="252">
        <v>0</v>
      </c>
      <c r="G55" s="252">
        <f t="shared" si="60"/>
        <v>0</v>
      </c>
      <c r="H55" s="252">
        <v>0</v>
      </c>
      <c r="I55" s="252">
        <v>0</v>
      </c>
      <c r="J55" s="252">
        <v>0</v>
      </c>
      <c r="K55" s="252">
        <v>0</v>
      </c>
      <c r="L55" s="250">
        <v>0</v>
      </c>
      <c r="M55" s="250">
        <v>0</v>
      </c>
      <c r="N55" s="250">
        <f>'13'!P56</f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0</v>
      </c>
      <c r="V55" s="250">
        <v>0</v>
      </c>
      <c r="W55" s="250">
        <v>0</v>
      </c>
      <c r="X55" s="250">
        <v>0</v>
      </c>
      <c r="Y55" s="250">
        <v>0</v>
      </c>
      <c r="Z55" s="250">
        <v>0</v>
      </c>
      <c r="AA55" s="250">
        <v>0</v>
      </c>
      <c r="AB55" s="250">
        <v>0</v>
      </c>
      <c r="AC55" s="250">
        <v>0</v>
      </c>
      <c r="AD55" s="250">
        <v>0</v>
      </c>
      <c r="AE55" s="250">
        <v>0</v>
      </c>
      <c r="AF55" s="250">
        <v>0</v>
      </c>
      <c r="AG55" s="250">
        <v>0</v>
      </c>
      <c r="AH55" s="250">
        <v>0</v>
      </c>
      <c r="AI55" s="250">
        <v>0</v>
      </c>
      <c r="AJ55" s="250">
        <v>0</v>
      </c>
      <c r="AK55" s="250">
        <v>0</v>
      </c>
      <c r="AL55" s="250">
        <v>0</v>
      </c>
      <c r="AM55" s="250">
        <v>0</v>
      </c>
      <c r="AN55" s="248">
        <f t="shared" si="63"/>
        <v>0</v>
      </c>
      <c r="AO55" s="248">
        <f t="shared" si="64"/>
        <v>0</v>
      </c>
      <c r="AP55" s="248">
        <f t="shared" si="65"/>
        <v>0</v>
      </c>
      <c r="AQ55" s="248">
        <f t="shared" si="66"/>
        <v>0</v>
      </c>
      <c r="AR55" s="248">
        <f t="shared" si="67"/>
        <v>0.28999999999999998</v>
      </c>
      <c r="AS55" s="248">
        <f t="shared" si="68"/>
        <v>0</v>
      </c>
      <c r="AT55" s="248">
        <f t="shared" si="69"/>
        <v>0</v>
      </c>
      <c r="AU55" s="250">
        <v>0</v>
      </c>
      <c r="AV55" s="250">
        <v>0</v>
      </c>
      <c r="AW55" s="250">
        <f>'14'!Q50</f>
        <v>0</v>
      </c>
      <c r="AX55" s="250">
        <v>0</v>
      </c>
      <c r="AY55" s="250">
        <v>0</v>
      </c>
      <c r="AZ55" s="250">
        <v>0</v>
      </c>
      <c r="BA55" s="250">
        <v>0</v>
      </c>
      <c r="BB55" s="250">
        <v>0</v>
      </c>
      <c r="BC55" s="250">
        <v>0</v>
      </c>
      <c r="BD55" s="250">
        <f>'14'!V50</f>
        <v>0</v>
      </c>
      <c r="BE55" s="250">
        <v>0</v>
      </c>
      <c r="BF55" s="250">
        <v>0</v>
      </c>
      <c r="BG55" s="250">
        <v>0</v>
      </c>
      <c r="BH55" s="250">
        <v>0</v>
      </c>
      <c r="BI55" s="250">
        <v>0</v>
      </c>
      <c r="BJ55" s="250">
        <v>0</v>
      </c>
      <c r="BK55" s="250">
        <v>0</v>
      </c>
      <c r="BL55" s="250">
        <v>0</v>
      </c>
      <c r="BM55" s="250">
        <v>0</v>
      </c>
      <c r="BN55" s="250">
        <v>0</v>
      </c>
      <c r="BO55" s="250">
        <v>0</v>
      </c>
      <c r="BP55" s="250">
        <v>0</v>
      </c>
      <c r="BQ55" s="250">
        <v>0</v>
      </c>
      <c r="BR55" s="250">
        <f>'14'!AF50</f>
        <v>0</v>
      </c>
      <c r="BS55" s="250">
        <v>0</v>
      </c>
      <c r="BT55" s="250">
        <v>0.28999999999999998</v>
      </c>
      <c r="BU55" s="250">
        <v>0</v>
      </c>
      <c r="BV55" s="250">
        <v>0</v>
      </c>
      <c r="BW55" s="248">
        <v>0</v>
      </c>
      <c r="BX55" s="248">
        <v>0</v>
      </c>
      <c r="BY55" s="248">
        <v>0</v>
      </c>
      <c r="BZ55" s="248">
        <v>0</v>
      </c>
      <c r="CA55" s="248">
        <v>0</v>
      </c>
      <c r="CB55" s="248">
        <v>0</v>
      </c>
      <c r="CC55" s="248">
        <v>0</v>
      </c>
      <c r="CD55" s="518" t="str">
        <f>'10'!T51</f>
        <v>Строительство сетей для создания технической возможности ТП потребителей в соответствии с договорами на ТП</v>
      </c>
    </row>
    <row r="56" spans="1:82" s="65" customFormat="1" ht="94.5">
      <c r="A56" s="240" t="s">
        <v>1099</v>
      </c>
      <c r="B56" s="129" t="s">
        <v>1150</v>
      </c>
      <c r="C56" s="202" t="s">
        <v>876</v>
      </c>
      <c r="D56" s="512" t="s">
        <v>876</v>
      </c>
      <c r="E56" s="252">
        <v>0</v>
      </c>
      <c r="F56" s="252">
        <v>0</v>
      </c>
      <c r="G56" s="252">
        <f t="shared" si="60"/>
        <v>0</v>
      </c>
      <c r="H56" s="252">
        <v>0</v>
      </c>
      <c r="I56" s="252">
        <v>0</v>
      </c>
      <c r="J56" s="252">
        <v>0</v>
      </c>
      <c r="K56" s="252">
        <v>0</v>
      </c>
      <c r="L56" s="250">
        <v>0</v>
      </c>
      <c r="M56" s="250">
        <v>0</v>
      </c>
      <c r="N56" s="250">
        <f>'13'!P57</f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0</v>
      </c>
      <c r="V56" s="250">
        <v>0</v>
      </c>
      <c r="W56" s="250">
        <v>0</v>
      </c>
      <c r="X56" s="250">
        <v>0</v>
      </c>
      <c r="Y56" s="250">
        <v>0</v>
      </c>
      <c r="Z56" s="250">
        <v>0</v>
      </c>
      <c r="AA56" s="250">
        <v>0</v>
      </c>
      <c r="AB56" s="250">
        <v>0</v>
      </c>
      <c r="AC56" s="250">
        <v>0</v>
      </c>
      <c r="AD56" s="250">
        <v>0</v>
      </c>
      <c r="AE56" s="250">
        <v>0</v>
      </c>
      <c r="AF56" s="250">
        <v>0</v>
      </c>
      <c r="AG56" s="250">
        <v>0</v>
      </c>
      <c r="AH56" s="250">
        <v>0</v>
      </c>
      <c r="AI56" s="250">
        <v>0</v>
      </c>
      <c r="AJ56" s="250">
        <v>0</v>
      </c>
      <c r="AK56" s="250">
        <v>0</v>
      </c>
      <c r="AL56" s="250">
        <v>0</v>
      </c>
      <c r="AM56" s="250">
        <v>0</v>
      </c>
      <c r="AN56" s="248">
        <f t="shared" ref="AN56" si="70">AU56+BB56+BI56+BP56</f>
        <v>0</v>
      </c>
      <c r="AO56" s="248">
        <f t="shared" ref="AO56" si="71">AV56+BC56+BJ56+BQ56</f>
        <v>0</v>
      </c>
      <c r="AP56" s="248">
        <f t="shared" ref="AP56" si="72">AW56+BD56+BK56+BR56</f>
        <v>0.28999999999999998</v>
      </c>
      <c r="AQ56" s="248">
        <f t="shared" ref="AQ56" si="73">AX56+BE56+BL56+BS56</f>
        <v>0</v>
      </c>
      <c r="AR56" s="248">
        <f t="shared" ref="AR56" si="74">AY56+BF56+BM56+BT56</f>
        <v>0</v>
      </c>
      <c r="AS56" s="248">
        <f t="shared" ref="AS56" si="75">AZ56+BG56+BN56+BU56</f>
        <v>0</v>
      </c>
      <c r="AT56" s="248">
        <f t="shared" ref="AT56" si="76">BA56+BH56+BO56+BV56</f>
        <v>0</v>
      </c>
      <c r="AU56" s="250">
        <v>0</v>
      </c>
      <c r="AV56" s="250">
        <v>0</v>
      </c>
      <c r="AW56" s="250">
        <f>'14'!Q51</f>
        <v>0</v>
      </c>
      <c r="AX56" s="250">
        <v>0</v>
      </c>
      <c r="AY56" s="250">
        <v>0</v>
      </c>
      <c r="AZ56" s="250">
        <v>0</v>
      </c>
      <c r="BA56" s="250">
        <v>0</v>
      </c>
      <c r="BB56" s="250">
        <v>0</v>
      </c>
      <c r="BC56" s="250">
        <v>0</v>
      </c>
      <c r="BD56" s="250">
        <f>'14'!V51</f>
        <v>0</v>
      </c>
      <c r="BE56" s="250">
        <v>0</v>
      </c>
      <c r="BF56" s="250">
        <v>0</v>
      </c>
      <c r="BG56" s="250">
        <v>0</v>
      </c>
      <c r="BH56" s="250">
        <v>0</v>
      </c>
      <c r="BI56" s="250">
        <v>0</v>
      </c>
      <c r="BJ56" s="250">
        <v>0</v>
      </c>
      <c r="BK56" s="250">
        <v>0</v>
      </c>
      <c r="BL56" s="250">
        <v>0</v>
      </c>
      <c r="BM56" s="250">
        <v>0</v>
      </c>
      <c r="BN56" s="250">
        <v>0</v>
      </c>
      <c r="BO56" s="250">
        <v>0</v>
      </c>
      <c r="BP56" s="250">
        <v>0</v>
      </c>
      <c r="BQ56" s="250">
        <v>0</v>
      </c>
      <c r="BR56" s="250">
        <v>0.28999999999999998</v>
      </c>
      <c r="BS56" s="250">
        <v>0</v>
      </c>
      <c r="BT56" s="250">
        <v>0</v>
      </c>
      <c r="BU56" s="250">
        <v>0</v>
      </c>
      <c r="BV56" s="250">
        <v>0</v>
      </c>
      <c r="BW56" s="248">
        <v>0</v>
      </c>
      <c r="BX56" s="248">
        <v>0</v>
      </c>
      <c r="BY56" s="248">
        <v>0</v>
      </c>
      <c r="BZ56" s="248">
        <v>0</v>
      </c>
      <c r="CA56" s="248">
        <v>0</v>
      </c>
      <c r="CB56" s="248">
        <v>0</v>
      </c>
      <c r="CC56" s="248">
        <v>0</v>
      </c>
      <c r="CD56" s="518" t="str">
        <f>'10'!T52</f>
        <v>Строительство сетей для создания технической возможности ТП потребителей в соответствии с договорами на ТП</v>
      </c>
    </row>
    <row r="57" spans="1:82" s="65" customFormat="1" ht="78.75">
      <c r="A57" s="123" t="s">
        <v>1152</v>
      </c>
      <c r="B57" s="129" t="s">
        <v>1153</v>
      </c>
      <c r="C57" s="202" t="s">
        <v>876</v>
      </c>
      <c r="D57" s="163" t="s">
        <v>876</v>
      </c>
      <c r="E57" s="252">
        <v>0</v>
      </c>
      <c r="F57" s="252">
        <v>0</v>
      </c>
      <c r="G57" s="252">
        <f t="shared" si="60"/>
        <v>0</v>
      </c>
      <c r="H57" s="252">
        <v>0</v>
      </c>
      <c r="I57" s="252">
        <v>0</v>
      </c>
      <c r="J57" s="252">
        <v>0</v>
      </c>
      <c r="K57" s="252">
        <v>0</v>
      </c>
      <c r="L57" s="250">
        <v>0</v>
      </c>
      <c r="M57" s="250">
        <v>0</v>
      </c>
      <c r="N57" s="250">
        <f>'13'!P58</f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250">
        <v>0</v>
      </c>
      <c r="X57" s="250">
        <v>0</v>
      </c>
      <c r="Y57" s="250">
        <v>0</v>
      </c>
      <c r="Z57" s="250">
        <v>0</v>
      </c>
      <c r="AA57" s="250">
        <v>0</v>
      </c>
      <c r="AB57" s="250">
        <v>0</v>
      </c>
      <c r="AC57" s="250">
        <v>0</v>
      </c>
      <c r="AD57" s="250">
        <v>0</v>
      </c>
      <c r="AE57" s="250">
        <v>0</v>
      </c>
      <c r="AF57" s="250">
        <v>0</v>
      </c>
      <c r="AG57" s="250">
        <v>0</v>
      </c>
      <c r="AH57" s="250">
        <v>0</v>
      </c>
      <c r="AI57" s="250">
        <v>0</v>
      </c>
      <c r="AJ57" s="250">
        <v>0</v>
      </c>
      <c r="AK57" s="250">
        <v>0</v>
      </c>
      <c r="AL57" s="250">
        <v>0</v>
      </c>
      <c r="AM57" s="250">
        <v>0</v>
      </c>
      <c r="AN57" s="248">
        <f t="shared" si="63"/>
        <v>0</v>
      </c>
      <c r="AO57" s="248">
        <f t="shared" si="64"/>
        <v>0</v>
      </c>
      <c r="AP57" s="248">
        <f t="shared" si="65"/>
        <v>0.69499999999999995</v>
      </c>
      <c r="AQ57" s="248">
        <f t="shared" si="66"/>
        <v>0</v>
      </c>
      <c r="AR57" s="248">
        <f t="shared" si="67"/>
        <v>4.8000000000000001E-2</v>
      </c>
      <c r="AS57" s="248">
        <f t="shared" si="68"/>
        <v>0</v>
      </c>
      <c r="AT57" s="248">
        <f t="shared" si="69"/>
        <v>0</v>
      </c>
      <c r="AU57" s="250">
        <v>0</v>
      </c>
      <c r="AV57" s="250">
        <v>0</v>
      </c>
      <c r="AW57" s="250">
        <f>'14'!Q52</f>
        <v>0</v>
      </c>
      <c r="AX57" s="250">
        <v>0</v>
      </c>
      <c r="AY57" s="250">
        <v>0</v>
      </c>
      <c r="AZ57" s="250">
        <v>0</v>
      </c>
      <c r="BA57" s="250">
        <v>0</v>
      </c>
      <c r="BB57" s="250">
        <v>0</v>
      </c>
      <c r="BC57" s="250">
        <v>0</v>
      </c>
      <c r="BD57" s="250">
        <f>'14'!V52</f>
        <v>0</v>
      </c>
      <c r="BE57" s="250">
        <v>0</v>
      </c>
      <c r="BF57" s="250">
        <v>0</v>
      </c>
      <c r="BG57" s="250">
        <v>0</v>
      </c>
      <c r="BH57" s="250">
        <v>0</v>
      </c>
      <c r="BI57" s="250">
        <v>0</v>
      </c>
      <c r="BJ57" s="250">
        <v>0</v>
      </c>
      <c r="BK57" s="250">
        <f>'14'!AA52</f>
        <v>0</v>
      </c>
      <c r="BL57" s="250">
        <v>0</v>
      </c>
      <c r="BM57" s="250">
        <v>0</v>
      </c>
      <c r="BN57" s="250">
        <v>0</v>
      </c>
      <c r="BO57" s="250">
        <v>0</v>
      </c>
      <c r="BP57" s="250">
        <v>0</v>
      </c>
      <c r="BQ57" s="250">
        <v>0</v>
      </c>
      <c r="BR57" s="250">
        <f>'14'!AF52-0.048</f>
        <v>0.69499999999999995</v>
      </c>
      <c r="BS57" s="250">
        <v>0</v>
      </c>
      <c r="BT57" s="250">
        <v>4.8000000000000001E-2</v>
      </c>
      <c r="BU57" s="250">
        <v>0</v>
      </c>
      <c r="BV57" s="250">
        <v>0</v>
      </c>
      <c r="BW57" s="248">
        <v>0</v>
      </c>
      <c r="BX57" s="248">
        <v>0</v>
      </c>
      <c r="BY57" s="248">
        <v>0</v>
      </c>
      <c r="BZ57" s="248">
        <v>0</v>
      </c>
      <c r="CA57" s="248">
        <v>0</v>
      </c>
      <c r="CB57" s="248">
        <v>0</v>
      </c>
      <c r="CC57" s="248">
        <v>0</v>
      </c>
      <c r="CD57" s="518" t="str">
        <f>'10'!T53</f>
        <v>Строительство сетей для создания технической возможности ТП потребителей в соответствии с договорами на ТП</v>
      </c>
    </row>
    <row r="58" spans="1:82" s="65" customFormat="1" ht="94.5">
      <c r="A58" s="237" t="s">
        <v>394</v>
      </c>
      <c r="B58" s="238" t="s">
        <v>894</v>
      </c>
      <c r="C58" s="202" t="s">
        <v>876</v>
      </c>
      <c r="D58" s="163" t="s">
        <v>876</v>
      </c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K58" s="252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250">
        <v>0</v>
      </c>
      <c r="X58" s="250">
        <v>0</v>
      </c>
      <c r="Y58" s="250">
        <v>0</v>
      </c>
      <c r="Z58" s="250">
        <v>0</v>
      </c>
      <c r="AA58" s="250">
        <v>0</v>
      </c>
      <c r="AB58" s="250">
        <v>0</v>
      </c>
      <c r="AC58" s="250">
        <v>0</v>
      </c>
      <c r="AD58" s="250">
        <v>0</v>
      </c>
      <c r="AE58" s="250">
        <v>0</v>
      </c>
      <c r="AF58" s="250">
        <v>0</v>
      </c>
      <c r="AG58" s="250">
        <v>0</v>
      </c>
      <c r="AH58" s="250">
        <v>0</v>
      </c>
      <c r="AI58" s="250">
        <v>0</v>
      </c>
      <c r="AJ58" s="250">
        <v>0</v>
      </c>
      <c r="AK58" s="250">
        <v>0</v>
      </c>
      <c r="AL58" s="250">
        <v>0</v>
      </c>
      <c r="AM58" s="250">
        <v>0</v>
      </c>
      <c r="AN58" s="248">
        <f t="shared" si="5"/>
        <v>0</v>
      </c>
      <c r="AO58" s="248">
        <f t="shared" si="6"/>
        <v>0</v>
      </c>
      <c r="AP58" s="248">
        <f t="shared" si="7"/>
        <v>0</v>
      </c>
      <c r="AQ58" s="248">
        <f t="shared" si="8"/>
        <v>0</v>
      </c>
      <c r="AR58" s="248">
        <f t="shared" si="9"/>
        <v>0</v>
      </c>
      <c r="AS58" s="248">
        <f t="shared" si="10"/>
        <v>0</v>
      </c>
      <c r="AT58" s="248">
        <f t="shared" si="11"/>
        <v>0</v>
      </c>
      <c r="AU58" s="250">
        <v>0</v>
      </c>
      <c r="AV58" s="250">
        <v>0</v>
      </c>
      <c r="AW58" s="250">
        <v>0</v>
      </c>
      <c r="AX58" s="250">
        <v>0</v>
      </c>
      <c r="AY58" s="250">
        <v>0</v>
      </c>
      <c r="AZ58" s="250">
        <v>0</v>
      </c>
      <c r="BA58" s="250">
        <v>0</v>
      </c>
      <c r="BB58" s="250">
        <v>0</v>
      </c>
      <c r="BC58" s="250">
        <v>0</v>
      </c>
      <c r="BD58" s="250">
        <v>0</v>
      </c>
      <c r="BE58" s="250">
        <v>0</v>
      </c>
      <c r="BF58" s="250">
        <v>0</v>
      </c>
      <c r="BG58" s="250">
        <v>0</v>
      </c>
      <c r="BH58" s="250">
        <v>0</v>
      </c>
      <c r="BI58" s="250">
        <v>0</v>
      </c>
      <c r="BJ58" s="250">
        <v>0</v>
      </c>
      <c r="BK58" s="250">
        <v>0</v>
      </c>
      <c r="BL58" s="250">
        <v>0</v>
      </c>
      <c r="BM58" s="250">
        <v>0</v>
      </c>
      <c r="BN58" s="250">
        <v>0</v>
      </c>
      <c r="BO58" s="250">
        <v>0</v>
      </c>
      <c r="BP58" s="250">
        <v>0</v>
      </c>
      <c r="BQ58" s="250">
        <v>0</v>
      </c>
      <c r="BR58" s="250">
        <v>0</v>
      </c>
      <c r="BS58" s="250">
        <v>0</v>
      </c>
      <c r="BT58" s="250">
        <v>0</v>
      </c>
      <c r="BU58" s="250">
        <v>0</v>
      </c>
      <c r="BV58" s="250">
        <v>0</v>
      </c>
      <c r="BW58" s="248">
        <f t="shared" si="13"/>
        <v>0</v>
      </c>
      <c r="BX58" s="248">
        <f t="shared" si="14"/>
        <v>0</v>
      </c>
      <c r="BY58" s="248">
        <f t="shared" si="15"/>
        <v>0</v>
      </c>
      <c r="BZ58" s="248">
        <f t="shared" si="16"/>
        <v>0</v>
      </c>
      <c r="CA58" s="248">
        <f t="shared" si="17"/>
        <v>0</v>
      </c>
      <c r="CB58" s="248">
        <f t="shared" si="18"/>
        <v>0</v>
      </c>
      <c r="CC58" s="248">
        <f t="shared" si="19"/>
        <v>0</v>
      </c>
      <c r="CD58" s="518" t="e">
        <f>'10'!#REF!</f>
        <v>#REF!</v>
      </c>
    </row>
    <row r="59" spans="1:82" s="65" customFormat="1" ht="63">
      <c r="A59" s="239" t="s">
        <v>744</v>
      </c>
      <c r="B59" s="238" t="s">
        <v>895</v>
      </c>
      <c r="C59" s="202" t="s">
        <v>876</v>
      </c>
      <c r="D59" s="163" t="s">
        <v>876</v>
      </c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252">
        <v>0</v>
      </c>
      <c r="K59" s="252">
        <v>0</v>
      </c>
      <c r="L59" s="250">
        <f t="shared" ref="L59:AM59" si="77">L60+L61</f>
        <v>0</v>
      </c>
      <c r="M59" s="250">
        <f t="shared" si="77"/>
        <v>0</v>
      </c>
      <c r="N59" s="250">
        <f t="shared" si="77"/>
        <v>0</v>
      </c>
      <c r="O59" s="250">
        <f t="shared" si="77"/>
        <v>0</v>
      </c>
      <c r="P59" s="250">
        <f t="shared" si="77"/>
        <v>0</v>
      </c>
      <c r="Q59" s="250">
        <f t="shared" si="77"/>
        <v>0</v>
      </c>
      <c r="R59" s="250">
        <f t="shared" si="77"/>
        <v>0</v>
      </c>
      <c r="S59" s="250">
        <f t="shared" si="77"/>
        <v>0</v>
      </c>
      <c r="T59" s="250">
        <f t="shared" si="77"/>
        <v>0</v>
      </c>
      <c r="U59" s="250">
        <f t="shared" si="77"/>
        <v>0</v>
      </c>
      <c r="V59" s="250">
        <f t="shared" si="77"/>
        <v>0</v>
      </c>
      <c r="W59" s="250">
        <f t="shared" si="77"/>
        <v>0</v>
      </c>
      <c r="X59" s="250">
        <f t="shared" si="77"/>
        <v>0</v>
      </c>
      <c r="Y59" s="250">
        <f t="shared" si="77"/>
        <v>0</v>
      </c>
      <c r="Z59" s="250">
        <f t="shared" si="77"/>
        <v>0</v>
      </c>
      <c r="AA59" s="250">
        <f t="shared" si="77"/>
        <v>0</v>
      </c>
      <c r="AB59" s="250">
        <f t="shared" si="77"/>
        <v>0</v>
      </c>
      <c r="AC59" s="250">
        <f t="shared" si="77"/>
        <v>0</v>
      </c>
      <c r="AD59" s="250">
        <f t="shared" si="77"/>
        <v>0</v>
      </c>
      <c r="AE59" s="250">
        <f t="shared" si="77"/>
        <v>0</v>
      </c>
      <c r="AF59" s="250">
        <f t="shared" si="77"/>
        <v>0</v>
      </c>
      <c r="AG59" s="250">
        <f t="shared" si="77"/>
        <v>0</v>
      </c>
      <c r="AH59" s="250">
        <f t="shared" si="77"/>
        <v>0</v>
      </c>
      <c r="AI59" s="250">
        <f t="shared" si="77"/>
        <v>0</v>
      </c>
      <c r="AJ59" s="250">
        <f t="shared" si="77"/>
        <v>0</v>
      </c>
      <c r="AK59" s="250">
        <f t="shared" si="77"/>
        <v>0</v>
      </c>
      <c r="AL59" s="250">
        <f t="shared" si="77"/>
        <v>0</v>
      </c>
      <c r="AM59" s="250">
        <f t="shared" si="77"/>
        <v>0</v>
      </c>
      <c r="AN59" s="248">
        <f t="shared" si="5"/>
        <v>0</v>
      </c>
      <c r="AO59" s="248">
        <f t="shared" si="6"/>
        <v>0</v>
      </c>
      <c r="AP59" s="248">
        <f t="shared" si="7"/>
        <v>0</v>
      </c>
      <c r="AQ59" s="248">
        <f t="shared" si="8"/>
        <v>0</v>
      </c>
      <c r="AR59" s="248">
        <f t="shared" si="9"/>
        <v>0</v>
      </c>
      <c r="AS59" s="248">
        <f t="shared" si="10"/>
        <v>0</v>
      </c>
      <c r="AT59" s="248">
        <f t="shared" si="11"/>
        <v>0</v>
      </c>
      <c r="AU59" s="250">
        <f t="shared" ref="AU59:BV59" si="78">AU60+AU61</f>
        <v>0</v>
      </c>
      <c r="AV59" s="250">
        <f t="shared" si="78"/>
        <v>0</v>
      </c>
      <c r="AW59" s="250">
        <f t="shared" si="78"/>
        <v>0</v>
      </c>
      <c r="AX59" s="250">
        <f t="shared" si="78"/>
        <v>0</v>
      </c>
      <c r="AY59" s="250">
        <f t="shared" si="78"/>
        <v>0</v>
      </c>
      <c r="AZ59" s="250">
        <f t="shared" si="78"/>
        <v>0</v>
      </c>
      <c r="BA59" s="250">
        <f t="shared" si="78"/>
        <v>0</v>
      </c>
      <c r="BB59" s="250">
        <f t="shared" si="78"/>
        <v>0</v>
      </c>
      <c r="BC59" s="250">
        <f t="shared" si="78"/>
        <v>0</v>
      </c>
      <c r="BD59" s="250">
        <f t="shared" si="78"/>
        <v>0</v>
      </c>
      <c r="BE59" s="250">
        <f t="shared" si="78"/>
        <v>0</v>
      </c>
      <c r="BF59" s="250">
        <f t="shared" si="78"/>
        <v>0</v>
      </c>
      <c r="BG59" s="250">
        <f t="shared" si="78"/>
        <v>0</v>
      </c>
      <c r="BH59" s="250">
        <f t="shared" si="78"/>
        <v>0</v>
      </c>
      <c r="BI59" s="250">
        <f t="shared" si="78"/>
        <v>0</v>
      </c>
      <c r="BJ59" s="250">
        <f t="shared" si="78"/>
        <v>0</v>
      </c>
      <c r="BK59" s="250">
        <f t="shared" si="78"/>
        <v>0</v>
      </c>
      <c r="BL59" s="250">
        <f t="shared" si="78"/>
        <v>0</v>
      </c>
      <c r="BM59" s="250">
        <f t="shared" si="78"/>
        <v>0</v>
      </c>
      <c r="BN59" s="250">
        <f t="shared" si="78"/>
        <v>0</v>
      </c>
      <c r="BO59" s="250">
        <f t="shared" si="78"/>
        <v>0</v>
      </c>
      <c r="BP59" s="250">
        <f t="shared" si="78"/>
        <v>0</v>
      </c>
      <c r="BQ59" s="250">
        <f t="shared" si="78"/>
        <v>0</v>
      </c>
      <c r="BR59" s="250">
        <f t="shared" si="78"/>
        <v>0</v>
      </c>
      <c r="BS59" s="250">
        <f t="shared" si="78"/>
        <v>0</v>
      </c>
      <c r="BT59" s="250">
        <f t="shared" si="78"/>
        <v>0</v>
      </c>
      <c r="BU59" s="250">
        <f t="shared" si="78"/>
        <v>0</v>
      </c>
      <c r="BV59" s="250">
        <f t="shared" si="78"/>
        <v>0</v>
      </c>
      <c r="BW59" s="248">
        <f t="shared" si="13"/>
        <v>0</v>
      </c>
      <c r="BX59" s="248">
        <f t="shared" si="14"/>
        <v>0</v>
      </c>
      <c r="BY59" s="248">
        <f t="shared" si="15"/>
        <v>0</v>
      </c>
      <c r="BZ59" s="248">
        <f t="shared" si="16"/>
        <v>0</v>
      </c>
      <c r="CA59" s="248">
        <f t="shared" si="17"/>
        <v>0</v>
      </c>
      <c r="CB59" s="248">
        <f t="shared" si="18"/>
        <v>0</v>
      </c>
      <c r="CC59" s="248">
        <f t="shared" si="19"/>
        <v>0</v>
      </c>
      <c r="CD59" s="518" t="e">
        <f>'10'!#REF!</f>
        <v>#REF!</v>
      </c>
    </row>
    <row r="60" spans="1:82" s="65" customFormat="1" ht="110.25">
      <c r="A60" s="237" t="s">
        <v>415</v>
      </c>
      <c r="B60" s="238" t="s">
        <v>896</v>
      </c>
      <c r="C60" s="202" t="s">
        <v>876</v>
      </c>
      <c r="D60" s="163" t="s">
        <v>876</v>
      </c>
      <c r="E60" s="252">
        <v>0</v>
      </c>
      <c r="F60" s="252">
        <v>0</v>
      </c>
      <c r="G60" s="252">
        <v>0</v>
      </c>
      <c r="H60" s="252">
        <v>0</v>
      </c>
      <c r="I60" s="252">
        <v>0</v>
      </c>
      <c r="J60" s="252">
        <v>0</v>
      </c>
      <c r="K60" s="252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250">
        <v>0</v>
      </c>
      <c r="X60" s="250">
        <v>0</v>
      </c>
      <c r="Y60" s="250">
        <v>0</v>
      </c>
      <c r="Z60" s="250">
        <v>0</v>
      </c>
      <c r="AA60" s="250">
        <v>0</v>
      </c>
      <c r="AB60" s="250">
        <v>0</v>
      </c>
      <c r="AC60" s="250">
        <v>0</v>
      </c>
      <c r="AD60" s="250">
        <v>0</v>
      </c>
      <c r="AE60" s="250">
        <v>0</v>
      </c>
      <c r="AF60" s="250">
        <v>0</v>
      </c>
      <c r="AG60" s="250">
        <v>0</v>
      </c>
      <c r="AH60" s="250">
        <v>0</v>
      </c>
      <c r="AI60" s="250">
        <v>0</v>
      </c>
      <c r="AJ60" s="250">
        <v>0</v>
      </c>
      <c r="AK60" s="250">
        <v>0</v>
      </c>
      <c r="AL60" s="250">
        <v>0</v>
      </c>
      <c r="AM60" s="250">
        <v>0</v>
      </c>
      <c r="AN60" s="248">
        <f t="shared" si="5"/>
        <v>0</v>
      </c>
      <c r="AO60" s="248">
        <f t="shared" si="6"/>
        <v>0</v>
      </c>
      <c r="AP60" s="248">
        <f t="shared" si="7"/>
        <v>0</v>
      </c>
      <c r="AQ60" s="248">
        <f t="shared" si="8"/>
        <v>0</v>
      </c>
      <c r="AR60" s="248">
        <f t="shared" si="9"/>
        <v>0</v>
      </c>
      <c r="AS60" s="248">
        <f t="shared" si="10"/>
        <v>0</v>
      </c>
      <c r="AT60" s="248">
        <f t="shared" si="11"/>
        <v>0</v>
      </c>
      <c r="AU60" s="250">
        <v>0</v>
      </c>
      <c r="AV60" s="250">
        <v>0</v>
      </c>
      <c r="AW60" s="250">
        <v>0</v>
      </c>
      <c r="AX60" s="250">
        <v>0</v>
      </c>
      <c r="AY60" s="250">
        <v>0</v>
      </c>
      <c r="AZ60" s="250">
        <v>0</v>
      </c>
      <c r="BA60" s="250">
        <v>0</v>
      </c>
      <c r="BB60" s="250">
        <v>0</v>
      </c>
      <c r="BC60" s="250">
        <v>0</v>
      </c>
      <c r="BD60" s="250">
        <v>0</v>
      </c>
      <c r="BE60" s="250">
        <v>0</v>
      </c>
      <c r="BF60" s="250">
        <v>0</v>
      </c>
      <c r="BG60" s="250">
        <v>0</v>
      </c>
      <c r="BH60" s="250">
        <v>0</v>
      </c>
      <c r="BI60" s="250">
        <v>0</v>
      </c>
      <c r="BJ60" s="250">
        <v>0</v>
      </c>
      <c r="BK60" s="250">
        <v>0</v>
      </c>
      <c r="BL60" s="250">
        <v>0</v>
      </c>
      <c r="BM60" s="250">
        <v>0</v>
      </c>
      <c r="BN60" s="250">
        <v>0</v>
      </c>
      <c r="BO60" s="250">
        <v>0</v>
      </c>
      <c r="BP60" s="250">
        <v>0</v>
      </c>
      <c r="BQ60" s="250">
        <v>0</v>
      </c>
      <c r="BR60" s="250">
        <v>0</v>
      </c>
      <c r="BS60" s="250">
        <v>0</v>
      </c>
      <c r="BT60" s="250">
        <v>0</v>
      </c>
      <c r="BU60" s="250">
        <v>0</v>
      </c>
      <c r="BV60" s="250">
        <v>0</v>
      </c>
      <c r="BW60" s="248">
        <f t="shared" si="13"/>
        <v>0</v>
      </c>
      <c r="BX60" s="248">
        <f t="shared" si="14"/>
        <v>0</v>
      </c>
      <c r="BY60" s="248">
        <f t="shared" si="15"/>
        <v>0</v>
      </c>
      <c r="BZ60" s="248">
        <f t="shared" si="16"/>
        <v>0</v>
      </c>
      <c r="CA60" s="248">
        <f t="shared" si="17"/>
        <v>0</v>
      </c>
      <c r="CB60" s="248">
        <f t="shared" si="18"/>
        <v>0</v>
      </c>
      <c r="CC60" s="248">
        <f t="shared" si="19"/>
        <v>0</v>
      </c>
      <c r="CD60" s="518" t="e">
        <f>'10'!#REF!</f>
        <v>#REF!</v>
      </c>
    </row>
    <row r="61" spans="1:82" s="65" customFormat="1" ht="78.75">
      <c r="A61" s="237" t="s">
        <v>416</v>
      </c>
      <c r="B61" s="238" t="s">
        <v>897</v>
      </c>
      <c r="C61" s="202" t="s">
        <v>876</v>
      </c>
      <c r="D61" s="163" t="s">
        <v>876</v>
      </c>
      <c r="E61" s="252">
        <v>0</v>
      </c>
      <c r="F61" s="252">
        <v>0</v>
      </c>
      <c r="G61" s="252">
        <v>0</v>
      </c>
      <c r="H61" s="252">
        <v>0</v>
      </c>
      <c r="I61" s="252">
        <v>0</v>
      </c>
      <c r="J61" s="252">
        <v>0</v>
      </c>
      <c r="K61" s="252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250">
        <v>0</v>
      </c>
      <c r="X61" s="250">
        <v>0</v>
      </c>
      <c r="Y61" s="250">
        <v>0</v>
      </c>
      <c r="Z61" s="250">
        <v>0</v>
      </c>
      <c r="AA61" s="250">
        <v>0</v>
      </c>
      <c r="AB61" s="250">
        <v>0</v>
      </c>
      <c r="AC61" s="250">
        <v>0</v>
      </c>
      <c r="AD61" s="250">
        <v>0</v>
      </c>
      <c r="AE61" s="250">
        <v>0</v>
      </c>
      <c r="AF61" s="250">
        <v>0</v>
      </c>
      <c r="AG61" s="250">
        <v>0</v>
      </c>
      <c r="AH61" s="250">
        <v>0</v>
      </c>
      <c r="AI61" s="250">
        <v>0</v>
      </c>
      <c r="AJ61" s="250">
        <v>0</v>
      </c>
      <c r="AK61" s="250">
        <v>0</v>
      </c>
      <c r="AL61" s="250">
        <v>0</v>
      </c>
      <c r="AM61" s="250">
        <v>0</v>
      </c>
      <c r="AN61" s="248">
        <f t="shared" si="5"/>
        <v>0</v>
      </c>
      <c r="AO61" s="248">
        <f t="shared" si="6"/>
        <v>0</v>
      </c>
      <c r="AP61" s="248">
        <f t="shared" si="7"/>
        <v>0</v>
      </c>
      <c r="AQ61" s="248">
        <f t="shared" si="8"/>
        <v>0</v>
      </c>
      <c r="AR61" s="248">
        <f t="shared" si="9"/>
        <v>0</v>
      </c>
      <c r="AS61" s="248">
        <f t="shared" si="10"/>
        <v>0</v>
      </c>
      <c r="AT61" s="248">
        <f t="shared" si="11"/>
        <v>0</v>
      </c>
      <c r="AU61" s="250">
        <v>0</v>
      </c>
      <c r="AV61" s="250">
        <v>0</v>
      </c>
      <c r="AW61" s="250">
        <v>0</v>
      </c>
      <c r="AX61" s="250">
        <v>0</v>
      </c>
      <c r="AY61" s="250">
        <v>0</v>
      </c>
      <c r="AZ61" s="250">
        <v>0</v>
      </c>
      <c r="BA61" s="250">
        <v>0</v>
      </c>
      <c r="BB61" s="250">
        <v>0</v>
      </c>
      <c r="BC61" s="250">
        <v>0</v>
      </c>
      <c r="BD61" s="250">
        <v>0</v>
      </c>
      <c r="BE61" s="250">
        <v>0</v>
      </c>
      <c r="BF61" s="250">
        <v>0</v>
      </c>
      <c r="BG61" s="250">
        <v>0</v>
      </c>
      <c r="BH61" s="250">
        <v>0</v>
      </c>
      <c r="BI61" s="250">
        <v>0</v>
      </c>
      <c r="BJ61" s="250">
        <v>0</v>
      </c>
      <c r="BK61" s="250">
        <v>0</v>
      </c>
      <c r="BL61" s="250">
        <v>0</v>
      </c>
      <c r="BM61" s="250">
        <v>0</v>
      </c>
      <c r="BN61" s="250">
        <v>0</v>
      </c>
      <c r="BO61" s="250">
        <v>0</v>
      </c>
      <c r="BP61" s="250">
        <v>0</v>
      </c>
      <c r="BQ61" s="250">
        <v>0</v>
      </c>
      <c r="BR61" s="250">
        <v>0</v>
      </c>
      <c r="BS61" s="250">
        <v>0</v>
      </c>
      <c r="BT61" s="250">
        <v>0</v>
      </c>
      <c r="BU61" s="250">
        <v>0</v>
      </c>
      <c r="BV61" s="250">
        <v>0</v>
      </c>
      <c r="BW61" s="248">
        <f t="shared" si="13"/>
        <v>0</v>
      </c>
      <c r="BX61" s="248">
        <f t="shared" si="14"/>
        <v>0</v>
      </c>
      <c r="BY61" s="248">
        <f t="shared" si="15"/>
        <v>0</v>
      </c>
      <c r="BZ61" s="248">
        <f t="shared" si="16"/>
        <v>0</v>
      </c>
      <c r="CA61" s="248">
        <f t="shared" si="17"/>
        <v>0</v>
      </c>
      <c r="CB61" s="248">
        <f t="shared" si="18"/>
        <v>0</v>
      </c>
      <c r="CC61" s="248">
        <f t="shared" si="19"/>
        <v>0</v>
      </c>
      <c r="CD61" s="518" t="e">
        <f>'10'!#REF!</f>
        <v>#REF!</v>
      </c>
    </row>
    <row r="62" spans="1:82" s="65" customFormat="1" ht="78.75">
      <c r="A62" s="239" t="s">
        <v>745</v>
      </c>
      <c r="B62" s="238" t="s">
        <v>898</v>
      </c>
      <c r="C62" s="202" t="s">
        <v>876</v>
      </c>
      <c r="D62" s="163" t="s">
        <v>876</v>
      </c>
      <c r="E62" s="252">
        <v>0</v>
      </c>
      <c r="F62" s="252">
        <v>0</v>
      </c>
      <c r="G62" s="252">
        <v>0</v>
      </c>
      <c r="H62" s="252">
        <v>0</v>
      </c>
      <c r="I62" s="252">
        <v>0</v>
      </c>
      <c r="J62" s="252">
        <v>0</v>
      </c>
      <c r="K62" s="252">
        <v>0</v>
      </c>
      <c r="L62" s="250">
        <f t="shared" ref="L62:AM62" si="79">L63+L64+L65+L66+L67+L68+L69+L70</f>
        <v>0</v>
      </c>
      <c r="M62" s="250">
        <f t="shared" si="79"/>
        <v>0</v>
      </c>
      <c r="N62" s="250">
        <f t="shared" si="79"/>
        <v>0</v>
      </c>
      <c r="O62" s="250">
        <f t="shared" si="79"/>
        <v>0</v>
      </c>
      <c r="P62" s="250">
        <f t="shared" si="79"/>
        <v>0</v>
      </c>
      <c r="Q62" s="250">
        <f t="shared" si="79"/>
        <v>0</v>
      </c>
      <c r="R62" s="250">
        <f t="shared" si="79"/>
        <v>0</v>
      </c>
      <c r="S62" s="250">
        <f t="shared" si="79"/>
        <v>0</v>
      </c>
      <c r="T62" s="250">
        <f t="shared" si="79"/>
        <v>0</v>
      </c>
      <c r="U62" s="250">
        <f t="shared" si="79"/>
        <v>0</v>
      </c>
      <c r="V62" s="250">
        <f t="shared" si="79"/>
        <v>0</v>
      </c>
      <c r="W62" s="250">
        <f t="shared" si="79"/>
        <v>0</v>
      </c>
      <c r="X62" s="250">
        <f t="shared" si="79"/>
        <v>0</v>
      </c>
      <c r="Y62" s="250">
        <f t="shared" si="79"/>
        <v>0</v>
      </c>
      <c r="Z62" s="250">
        <f t="shared" si="79"/>
        <v>0</v>
      </c>
      <c r="AA62" s="250">
        <f t="shared" si="79"/>
        <v>0</v>
      </c>
      <c r="AB62" s="250">
        <f t="shared" si="79"/>
        <v>0</v>
      </c>
      <c r="AC62" s="250">
        <f t="shared" si="79"/>
        <v>0</v>
      </c>
      <c r="AD62" s="250">
        <f t="shared" si="79"/>
        <v>0</v>
      </c>
      <c r="AE62" s="250">
        <f t="shared" si="79"/>
        <v>0</v>
      </c>
      <c r="AF62" s="250">
        <f t="shared" si="79"/>
        <v>0</v>
      </c>
      <c r="AG62" s="250">
        <f t="shared" si="79"/>
        <v>0</v>
      </c>
      <c r="AH62" s="250">
        <f t="shared" si="79"/>
        <v>0</v>
      </c>
      <c r="AI62" s="250">
        <f t="shared" si="79"/>
        <v>0</v>
      </c>
      <c r="AJ62" s="250">
        <f t="shared" si="79"/>
        <v>0</v>
      </c>
      <c r="AK62" s="250">
        <f t="shared" si="79"/>
        <v>0</v>
      </c>
      <c r="AL62" s="250">
        <f t="shared" si="79"/>
        <v>0</v>
      </c>
      <c r="AM62" s="250">
        <f t="shared" si="79"/>
        <v>0</v>
      </c>
      <c r="AN62" s="248">
        <f t="shared" si="5"/>
        <v>0</v>
      </c>
      <c r="AO62" s="248">
        <f t="shared" si="6"/>
        <v>0</v>
      </c>
      <c r="AP62" s="248">
        <f t="shared" si="7"/>
        <v>0</v>
      </c>
      <c r="AQ62" s="248">
        <f t="shared" si="8"/>
        <v>0</v>
      </c>
      <c r="AR62" s="248">
        <f t="shared" si="9"/>
        <v>0</v>
      </c>
      <c r="AS62" s="248">
        <f t="shared" si="10"/>
        <v>0</v>
      </c>
      <c r="AT62" s="248">
        <f t="shared" si="11"/>
        <v>0</v>
      </c>
      <c r="AU62" s="250">
        <f t="shared" ref="AU62:BV62" si="80">AU63+AU64+AU65+AU66+AU67+AU68+AU69+AU70</f>
        <v>0</v>
      </c>
      <c r="AV62" s="250">
        <f t="shared" si="80"/>
        <v>0</v>
      </c>
      <c r="AW62" s="250">
        <f t="shared" si="80"/>
        <v>0</v>
      </c>
      <c r="AX62" s="250">
        <f t="shared" si="80"/>
        <v>0</v>
      </c>
      <c r="AY62" s="250">
        <f t="shared" si="80"/>
        <v>0</v>
      </c>
      <c r="AZ62" s="250">
        <f t="shared" si="80"/>
        <v>0</v>
      </c>
      <c r="BA62" s="250">
        <f t="shared" si="80"/>
        <v>0</v>
      </c>
      <c r="BB62" s="250">
        <f t="shared" si="80"/>
        <v>0</v>
      </c>
      <c r="BC62" s="250">
        <f t="shared" si="80"/>
        <v>0</v>
      </c>
      <c r="BD62" s="250">
        <f t="shared" si="80"/>
        <v>0</v>
      </c>
      <c r="BE62" s="250">
        <f t="shared" si="80"/>
        <v>0</v>
      </c>
      <c r="BF62" s="250">
        <f t="shared" si="80"/>
        <v>0</v>
      </c>
      <c r="BG62" s="250">
        <f t="shared" si="80"/>
        <v>0</v>
      </c>
      <c r="BH62" s="250">
        <f t="shared" si="80"/>
        <v>0</v>
      </c>
      <c r="BI62" s="250">
        <f t="shared" si="80"/>
        <v>0</v>
      </c>
      <c r="BJ62" s="250">
        <f t="shared" si="80"/>
        <v>0</v>
      </c>
      <c r="BK62" s="250">
        <f t="shared" si="80"/>
        <v>0</v>
      </c>
      <c r="BL62" s="250">
        <f t="shared" si="80"/>
        <v>0</v>
      </c>
      <c r="BM62" s="250">
        <f t="shared" si="80"/>
        <v>0</v>
      </c>
      <c r="BN62" s="250">
        <f t="shared" si="80"/>
        <v>0</v>
      </c>
      <c r="BO62" s="250">
        <f t="shared" si="80"/>
        <v>0</v>
      </c>
      <c r="BP62" s="250">
        <f t="shared" si="80"/>
        <v>0</v>
      </c>
      <c r="BQ62" s="250">
        <f t="shared" si="80"/>
        <v>0</v>
      </c>
      <c r="BR62" s="250">
        <f t="shared" si="80"/>
        <v>0</v>
      </c>
      <c r="BS62" s="250">
        <f t="shared" si="80"/>
        <v>0</v>
      </c>
      <c r="BT62" s="250">
        <f t="shared" si="80"/>
        <v>0</v>
      </c>
      <c r="BU62" s="250">
        <f t="shared" si="80"/>
        <v>0</v>
      </c>
      <c r="BV62" s="250">
        <f t="shared" si="80"/>
        <v>0</v>
      </c>
      <c r="BW62" s="248">
        <f t="shared" si="13"/>
        <v>0</v>
      </c>
      <c r="BX62" s="248">
        <f t="shared" si="14"/>
        <v>0</v>
      </c>
      <c r="BY62" s="248">
        <f t="shared" si="15"/>
        <v>0</v>
      </c>
      <c r="BZ62" s="248">
        <f t="shared" si="16"/>
        <v>0</v>
      </c>
      <c r="CA62" s="248">
        <f t="shared" si="17"/>
        <v>0</v>
      </c>
      <c r="CB62" s="248">
        <f t="shared" si="18"/>
        <v>0</v>
      </c>
      <c r="CC62" s="248">
        <f t="shared" si="19"/>
        <v>0</v>
      </c>
      <c r="CD62" s="518" t="e">
        <f>'10'!#REF!</f>
        <v>#REF!</v>
      </c>
    </row>
    <row r="63" spans="1:82" s="65" customFormat="1" ht="63">
      <c r="A63" s="237" t="s">
        <v>899</v>
      </c>
      <c r="B63" s="238" t="s">
        <v>900</v>
      </c>
      <c r="C63" s="202" t="s">
        <v>876</v>
      </c>
      <c r="D63" s="163" t="s">
        <v>876</v>
      </c>
      <c r="E63" s="252">
        <v>0</v>
      </c>
      <c r="F63" s="252">
        <v>0</v>
      </c>
      <c r="G63" s="252">
        <v>0</v>
      </c>
      <c r="H63" s="252">
        <v>0</v>
      </c>
      <c r="I63" s="252">
        <v>0</v>
      </c>
      <c r="J63" s="252">
        <v>0</v>
      </c>
      <c r="K63" s="252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250">
        <v>0</v>
      </c>
      <c r="X63" s="250">
        <v>0</v>
      </c>
      <c r="Y63" s="250">
        <v>0</v>
      </c>
      <c r="Z63" s="250">
        <v>0</v>
      </c>
      <c r="AA63" s="250">
        <v>0</v>
      </c>
      <c r="AB63" s="250">
        <v>0</v>
      </c>
      <c r="AC63" s="250">
        <v>0</v>
      </c>
      <c r="AD63" s="250">
        <v>0</v>
      </c>
      <c r="AE63" s="250">
        <v>0</v>
      </c>
      <c r="AF63" s="250">
        <v>0</v>
      </c>
      <c r="AG63" s="250">
        <v>0</v>
      </c>
      <c r="AH63" s="250">
        <v>0</v>
      </c>
      <c r="AI63" s="250">
        <v>0</v>
      </c>
      <c r="AJ63" s="250">
        <v>0</v>
      </c>
      <c r="AK63" s="250">
        <v>0</v>
      </c>
      <c r="AL63" s="250">
        <v>0</v>
      </c>
      <c r="AM63" s="250">
        <v>0</v>
      </c>
      <c r="AN63" s="248">
        <f t="shared" si="5"/>
        <v>0</v>
      </c>
      <c r="AO63" s="248">
        <f t="shared" si="6"/>
        <v>0</v>
      </c>
      <c r="AP63" s="248">
        <f t="shared" si="7"/>
        <v>0</v>
      </c>
      <c r="AQ63" s="248">
        <f t="shared" si="8"/>
        <v>0</v>
      </c>
      <c r="AR63" s="248">
        <f t="shared" si="9"/>
        <v>0</v>
      </c>
      <c r="AS63" s="248">
        <f t="shared" si="10"/>
        <v>0</v>
      </c>
      <c r="AT63" s="248">
        <f t="shared" si="11"/>
        <v>0</v>
      </c>
      <c r="AU63" s="250">
        <v>0</v>
      </c>
      <c r="AV63" s="250">
        <v>0</v>
      </c>
      <c r="AW63" s="250">
        <v>0</v>
      </c>
      <c r="AX63" s="250">
        <v>0</v>
      </c>
      <c r="AY63" s="250">
        <v>0</v>
      </c>
      <c r="AZ63" s="250">
        <v>0</v>
      </c>
      <c r="BA63" s="250">
        <v>0</v>
      </c>
      <c r="BB63" s="250">
        <v>0</v>
      </c>
      <c r="BC63" s="250">
        <v>0</v>
      </c>
      <c r="BD63" s="250">
        <v>0</v>
      </c>
      <c r="BE63" s="250">
        <v>0</v>
      </c>
      <c r="BF63" s="250">
        <v>0</v>
      </c>
      <c r="BG63" s="250">
        <v>0</v>
      </c>
      <c r="BH63" s="250">
        <v>0</v>
      </c>
      <c r="BI63" s="250">
        <v>0</v>
      </c>
      <c r="BJ63" s="250">
        <v>0</v>
      </c>
      <c r="BK63" s="250">
        <v>0</v>
      </c>
      <c r="BL63" s="250">
        <v>0</v>
      </c>
      <c r="BM63" s="250">
        <v>0</v>
      </c>
      <c r="BN63" s="250">
        <v>0</v>
      </c>
      <c r="BO63" s="250">
        <v>0</v>
      </c>
      <c r="BP63" s="250">
        <v>0</v>
      </c>
      <c r="BQ63" s="250">
        <v>0</v>
      </c>
      <c r="BR63" s="250">
        <v>0</v>
      </c>
      <c r="BS63" s="250">
        <v>0</v>
      </c>
      <c r="BT63" s="250">
        <v>0</v>
      </c>
      <c r="BU63" s="250">
        <v>0</v>
      </c>
      <c r="BV63" s="250">
        <v>0</v>
      </c>
      <c r="BW63" s="248">
        <f t="shared" si="13"/>
        <v>0</v>
      </c>
      <c r="BX63" s="248">
        <f t="shared" si="14"/>
        <v>0</v>
      </c>
      <c r="BY63" s="248">
        <f t="shared" si="15"/>
        <v>0</v>
      </c>
      <c r="BZ63" s="248">
        <f t="shared" si="16"/>
        <v>0</v>
      </c>
      <c r="CA63" s="248">
        <f t="shared" si="17"/>
        <v>0</v>
      </c>
      <c r="CB63" s="248">
        <f t="shared" si="18"/>
        <v>0</v>
      </c>
      <c r="CC63" s="248">
        <f t="shared" si="19"/>
        <v>0</v>
      </c>
      <c r="CD63" s="518" t="e">
        <f>'10'!#REF!</f>
        <v>#REF!</v>
      </c>
    </row>
    <row r="64" spans="1:82" s="65" customFormat="1" ht="189">
      <c r="A64" s="237" t="s">
        <v>899</v>
      </c>
      <c r="B64" s="238" t="s">
        <v>901</v>
      </c>
      <c r="C64" s="202" t="s">
        <v>876</v>
      </c>
      <c r="D64" s="163" t="s">
        <v>876</v>
      </c>
      <c r="E64" s="252">
        <v>0</v>
      </c>
      <c r="F64" s="252">
        <v>0</v>
      </c>
      <c r="G64" s="252">
        <v>0</v>
      </c>
      <c r="H64" s="252">
        <v>0</v>
      </c>
      <c r="I64" s="252">
        <v>0</v>
      </c>
      <c r="J64" s="252">
        <v>0</v>
      </c>
      <c r="K64" s="252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250">
        <v>0</v>
      </c>
      <c r="X64" s="250">
        <v>0</v>
      </c>
      <c r="Y64" s="250">
        <v>0</v>
      </c>
      <c r="Z64" s="250">
        <v>0</v>
      </c>
      <c r="AA64" s="250">
        <v>0</v>
      </c>
      <c r="AB64" s="250">
        <v>0</v>
      </c>
      <c r="AC64" s="250">
        <v>0</v>
      </c>
      <c r="AD64" s="250">
        <v>0</v>
      </c>
      <c r="AE64" s="250">
        <v>0</v>
      </c>
      <c r="AF64" s="250">
        <v>0</v>
      </c>
      <c r="AG64" s="250">
        <v>0</v>
      </c>
      <c r="AH64" s="250">
        <v>0</v>
      </c>
      <c r="AI64" s="250">
        <v>0</v>
      </c>
      <c r="AJ64" s="250">
        <v>0</v>
      </c>
      <c r="AK64" s="250">
        <v>0</v>
      </c>
      <c r="AL64" s="250">
        <v>0</v>
      </c>
      <c r="AM64" s="250">
        <v>0</v>
      </c>
      <c r="AN64" s="248">
        <f t="shared" si="5"/>
        <v>0</v>
      </c>
      <c r="AO64" s="248">
        <f t="shared" si="6"/>
        <v>0</v>
      </c>
      <c r="AP64" s="248">
        <f t="shared" si="7"/>
        <v>0</v>
      </c>
      <c r="AQ64" s="248">
        <f t="shared" si="8"/>
        <v>0</v>
      </c>
      <c r="AR64" s="248">
        <f t="shared" si="9"/>
        <v>0</v>
      </c>
      <c r="AS64" s="248">
        <f t="shared" si="10"/>
        <v>0</v>
      </c>
      <c r="AT64" s="248">
        <f t="shared" si="11"/>
        <v>0</v>
      </c>
      <c r="AU64" s="250">
        <v>0</v>
      </c>
      <c r="AV64" s="250">
        <v>0</v>
      </c>
      <c r="AW64" s="250">
        <v>0</v>
      </c>
      <c r="AX64" s="250">
        <v>0</v>
      </c>
      <c r="AY64" s="250">
        <v>0</v>
      </c>
      <c r="AZ64" s="250">
        <v>0</v>
      </c>
      <c r="BA64" s="250">
        <v>0</v>
      </c>
      <c r="BB64" s="250">
        <v>0</v>
      </c>
      <c r="BC64" s="250">
        <v>0</v>
      </c>
      <c r="BD64" s="250">
        <v>0</v>
      </c>
      <c r="BE64" s="250">
        <v>0</v>
      </c>
      <c r="BF64" s="250">
        <v>0</v>
      </c>
      <c r="BG64" s="250">
        <v>0</v>
      </c>
      <c r="BH64" s="250">
        <v>0</v>
      </c>
      <c r="BI64" s="250">
        <v>0</v>
      </c>
      <c r="BJ64" s="250">
        <v>0</v>
      </c>
      <c r="BK64" s="250">
        <v>0</v>
      </c>
      <c r="BL64" s="250">
        <v>0</v>
      </c>
      <c r="BM64" s="250">
        <v>0</v>
      </c>
      <c r="BN64" s="250">
        <v>0</v>
      </c>
      <c r="BO64" s="250">
        <v>0</v>
      </c>
      <c r="BP64" s="250">
        <v>0</v>
      </c>
      <c r="BQ64" s="250">
        <v>0</v>
      </c>
      <c r="BR64" s="250">
        <v>0</v>
      </c>
      <c r="BS64" s="250">
        <v>0</v>
      </c>
      <c r="BT64" s="250">
        <v>0</v>
      </c>
      <c r="BU64" s="250">
        <v>0</v>
      </c>
      <c r="BV64" s="250">
        <v>0</v>
      </c>
      <c r="BW64" s="248">
        <f t="shared" si="13"/>
        <v>0</v>
      </c>
      <c r="BX64" s="248">
        <f t="shared" si="14"/>
        <v>0</v>
      </c>
      <c r="BY64" s="248">
        <f t="shared" si="15"/>
        <v>0</v>
      </c>
      <c r="BZ64" s="248">
        <f t="shared" si="16"/>
        <v>0</v>
      </c>
      <c r="CA64" s="248">
        <f t="shared" si="17"/>
        <v>0</v>
      </c>
      <c r="CB64" s="248">
        <f t="shared" si="18"/>
        <v>0</v>
      </c>
      <c r="CC64" s="248">
        <f t="shared" si="19"/>
        <v>0</v>
      </c>
      <c r="CD64" s="518" t="e">
        <f>'10'!#REF!</f>
        <v>#REF!</v>
      </c>
    </row>
    <row r="65" spans="1:82" s="65" customFormat="1" ht="157.5">
      <c r="A65" s="237" t="s">
        <v>899</v>
      </c>
      <c r="B65" s="238" t="s">
        <v>902</v>
      </c>
      <c r="C65" s="202" t="s">
        <v>876</v>
      </c>
      <c r="D65" s="163" t="s">
        <v>876</v>
      </c>
      <c r="E65" s="252">
        <v>0</v>
      </c>
      <c r="F65" s="252">
        <v>0</v>
      </c>
      <c r="G65" s="252">
        <v>0</v>
      </c>
      <c r="H65" s="252">
        <v>0</v>
      </c>
      <c r="I65" s="252">
        <v>0</v>
      </c>
      <c r="J65" s="252">
        <v>0</v>
      </c>
      <c r="K65" s="252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250">
        <v>0</v>
      </c>
      <c r="X65" s="250">
        <v>0</v>
      </c>
      <c r="Y65" s="250">
        <v>0</v>
      </c>
      <c r="Z65" s="250">
        <v>0</v>
      </c>
      <c r="AA65" s="250">
        <v>0</v>
      </c>
      <c r="AB65" s="250">
        <v>0</v>
      </c>
      <c r="AC65" s="250">
        <v>0</v>
      </c>
      <c r="AD65" s="250">
        <v>0</v>
      </c>
      <c r="AE65" s="250">
        <v>0</v>
      </c>
      <c r="AF65" s="250">
        <v>0</v>
      </c>
      <c r="AG65" s="250">
        <v>0</v>
      </c>
      <c r="AH65" s="250">
        <v>0</v>
      </c>
      <c r="AI65" s="250">
        <v>0</v>
      </c>
      <c r="AJ65" s="250">
        <v>0</v>
      </c>
      <c r="AK65" s="250">
        <v>0</v>
      </c>
      <c r="AL65" s="250">
        <v>0</v>
      </c>
      <c r="AM65" s="250">
        <v>0</v>
      </c>
      <c r="AN65" s="248">
        <f t="shared" si="5"/>
        <v>0</v>
      </c>
      <c r="AO65" s="248">
        <f t="shared" si="6"/>
        <v>0</v>
      </c>
      <c r="AP65" s="248">
        <f t="shared" si="7"/>
        <v>0</v>
      </c>
      <c r="AQ65" s="248">
        <f t="shared" si="8"/>
        <v>0</v>
      </c>
      <c r="AR65" s="248">
        <f t="shared" si="9"/>
        <v>0</v>
      </c>
      <c r="AS65" s="248">
        <f t="shared" si="10"/>
        <v>0</v>
      </c>
      <c r="AT65" s="248">
        <f t="shared" si="11"/>
        <v>0</v>
      </c>
      <c r="AU65" s="250">
        <v>0</v>
      </c>
      <c r="AV65" s="250">
        <v>0</v>
      </c>
      <c r="AW65" s="250">
        <v>0</v>
      </c>
      <c r="AX65" s="250">
        <v>0</v>
      </c>
      <c r="AY65" s="250">
        <v>0</v>
      </c>
      <c r="AZ65" s="250">
        <v>0</v>
      </c>
      <c r="BA65" s="250">
        <v>0</v>
      </c>
      <c r="BB65" s="250">
        <v>0</v>
      </c>
      <c r="BC65" s="250">
        <v>0</v>
      </c>
      <c r="BD65" s="250">
        <v>0</v>
      </c>
      <c r="BE65" s="250">
        <v>0</v>
      </c>
      <c r="BF65" s="250">
        <v>0</v>
      </c>
      <c r="BG65" s="250">
        <v>0</v>
      </c>
      <c r="BH65" s="250">
        <v>0</v>
      </c>
      <c r="BI65" s="250">
        <v>0</v>
      </c>
      <c r="BJ65" s="250">
        <v>0</v>
      </c>
      <c r="BK65" s="250">
        <v>0</v>
      </c>
      <c r="BL65" s="250">
        <v>0</v>
      </c>
      <c r="BM65" s="250">
        <v>0</v>
      </c>
      <c r="BN65" s="250">
        <v>0</v>
      </c>
      <c r="BO65" s="250">
        <v>0</v>
      </c>
      <c r="BP65" s="250">
        <v>0</v>
      </c>
      <c r="BQ65" s="250">
        <v>0</v>
      </c>
      <c r="BR65" s="250">
        <v>0</v>
      </c>
      <c r="BS65" s="250">
        <v>0</v>
      </c>
      <c r="BT65" s="250">
        <v>0</v>
      </c>
      <c r="BU65" s="250">
        <v>0</v>
      </c>
      <c r="BV65" s="250">
        <v>0</v>
      </c>
      <c r="BW65" s="248">
        <f t="shared" si="13"/>
        <v>0</v>
      </c>
      <c r="BX65" s="248">
        <f t="shared" si="14"/>
        <v>0</v>
      </c>
      <c r="BY65" s="248">
        <f t="shared" si="15"/>
        <v>0</v>
      </c>
      <c r="BZ65" s="248">
        <f t="shared" si="16"/>
        <v>0</v>
      </c>
      <c r="CA65" s="248">
        <f t="shared" si="17"/>
        <v>0</v>
      </c>
      <c r="CB65" s="248">
        <f t="shared" si="18"/>
        <v>0</v>
      </c>
      <c r="CC65" s="248">
        <f t="shared" si="19"/>
        <v>0</v>
      </c>
      <c r="CD65" s="518" t="e">
        <f>'10'!#REF!</f>
        <v>#REF!</v>
      </c>
    </row>
    <row r="66" spans="1:82" s="65" customFormat="1" ht="173.25">
      <c r="A66" s="237" t="s">
        <v>899</v>
      </c>
      <c r="B66" s="238" t="s">
        <v>903</v>
      </c>
      <c r="C66" s="202" t="s">
        <v>876</v>
      </c>
      <c r="D66" s="163" t="s">
        <v>876</v>
      </c>
      <c r="E66" s="252">
        <v>0</v>
      </c>
      <c r="F66" s="252">
        <v>0</v>
      </c>
      <c r="G66" s="252">
        <v>0</v>
      </c>
      <c r="H66" s="252">
        <v>0</v>
      </c>
      <c r="I66" s="252">
        <v>0</v>
      </c>
      <c r="J66" s="252">
        <v>0</v>
      </c>
      <c r="K66" s="252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250">
        <v>0</v>
      </c>
      <c r="X66" s="250">
        <v>0</v>
      </c>
      <c r="Y66" s="250">
        <v>0</v>
      </c>
      <c r="Z66" s="250">
        <v>0</v>
      </c>
      <c r="AA66" s="250">
        <v>0</v>
      </c>
      <c r="AB66" s="250">
        <v>0</v>
      </c>
      <c r="AC66" s="250">
        <v>0</v>
      </c>
      <c r="AD66" s="250">
        <v>0</v>
      </c>
      <c r="AE66" s="250">
        <v>0</v>
      </c>
      <c r="AF66" s="250">
        <v>0</v>
      </c>
      <c r="AG66" s="250">
        <v>0</v>
      </c>
      <c r="AH66" s="250">
        <v>0</v>
      </c>
      <c r="AI66" s="250">
        <v>0</v>
      </c>
      <c r="AJ66" s="250">
        <v>0</v>
      </c>
      <c r="AK66" s="250">
        <v>0</v>
      </c>
      <c r="AL66" s="250">
        <v>0</v>
      </c>
      <c r="AM66" s="250">
        <v>0</v>
      </c>
      <c r="AN66" s="248">
        <f t="shared" si="5"/>
        <v>0</v>
      </c>
      <c r="AO66" s="248">
        <f t="shared" si="6"/>
        <v>0</v>
      </c>
      <c r="AP66" s="248">
        <f t="shared" si="7"/>
        <v>0</v>
      </c>
      <c r="AQ66" s="248">
        <f t="shared" si="8"/>
        <v>0</v>
      </c>
      <c r="AR66" s="248">
        <f t="shared" si="9"/>
        <v>0</v>
      </c>
      <c r="AS66" s="248">
        <f t="shared" si="10"/>
        <v>0</v>
      </c>
      <c r="AT66" s="248">
        <f t="shared" si="11"/>
        <v>0</v>
      </c>
      <c r="AU66" s="250">
        <v>0</v>
      </c>
      <c r="AV66" s="250">
        <v>0</v>
      </c>
      <c r="AW66" s="250">
        <v>0</v>
      </c>
      <c r="AX66" s="250">
        <v>0</v>
      </c>
      <c r="AY66" s="250">
        <v>0</v>
      </c>
      <c r="AZ66" s="250">
        <v>0</v>
      </c>
      <c r="BA66" s="250">
        <v>0</v>
      </c>
      <c r="BB66" s="250">
        <v>0</v>
      </c>
      <c r="BC66" s="250">
        <v>0</v>
      </c>
      <c r="BD66" s="250">
        <v>0</v>
      </c>
      <c r="BE66" s="250">
        <v>0</v>
      </c>
      <c r="BF66" s="250">
        <v>0</v>
      </c>
      <c r="BG66" s="250">
        <v>0</v>
      </c>
      <c r="BH66" s="250">
        <v>0</v>
      </c>
      <c r="BI66" s="250">
        <v>0</v>
      </c>
      <c r="BJ66" s="250">
        <v>0</v>
      </c>
      <c r="BK66" s="250">
        <v>0</v>
      </c>
      <c r="BL66" s="250">
        <v>0</v>
      </c>
      <c r="BM66" s="250">
        <v>0</v>
      </c>
      <c r="BN66" s="250">
        <v>0</v>
      </c>
      <c r="BO66" s="250">
        <v>0</v>
      </c>
      <c r="BP66" s="250">
        <v>0</v>
      </c>
      <c r="BQ66" s="250">
        <v>0</v>
      </c>
      <c r="BR66" s="250">
        <v>0</v>
      </c>
      <c r="BS66" s="250">
        <v>0</v>
      </c>
      <c r="BT66" s="250">
        <v>0</v>
      </c>
      <c r="BU66" s="250">
        <v>0</v>
      </c>
      <c r="BV66" s="250">
        <v>0</v>
      </c>
      <c r="BW66" s="248">
        <f t="shared" si="13"/>
        <v>0</v>
      </c>
      <c r="BX66" s="248">
        <f t="shared" si="14"/>
        <v>0</v>
      </c>
      <c r="BY66" s="248">
        <f t="shared" si="15"/>
        <v>0</v>
      </c>
      <c r="BZ66" s="248">
        <f t="shared" si="16"/>
        <v>0</v>
      </c>
      <c r="CA66" s="248">
        <f t="shared" si="17"/>
        <v>0</v>
      </c>
      <c r="CB66" s="248">
        <f t="shared" si="18"/>
        <v>0</v>
      </c>
      <c r="CC66" s="248">
        <f t="shared" si="19"/>
        <v>0</v>
      </c>
      <c r="CD66" s="518" t="e">
        <f>'10'!#REF!</f>
        <v>#REF!</v>
      </c>
    </row>
    <row r="67" spans="1:82" s="65" customFormat="1" ht="63">
      <c r="A67" s="237" t="s">
        <v>904</v>
      </c>
      <c r="B67" s="238" t="s">
        <v>900</v>
      </c>
      <c r="C67" s="202" t="s">
        <v>876</v>
      </c>
      <c r="D67" s="163" t="s">
        <v>876</v>
      </c>
      <c r="E67" s="252">
        <v>0</v>
      </c>
      <c r="F67" s="252">
        <v>0</v>
      </c>
      <c r="G67" s="252">
        <v>0</v>
      </c>
      <c r="H67" s="252">
        <v>0</v>
      </c>
      <c r="I67" s="252">
        <v>0</v>
      </c>
      <c r="J67" s="252">
        <v>0</v>
      </c>
      <c r="K67" s="252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250">
        <v>0</v>
      </c>
      <c r="X67" s="250">
        <v>0</v>
      </c>
      <c r="Y67" s="250">
        <v>0</v>
      </c>
      <c r="Z67" s="250">
        <v>0</v>
      </c>
      <c r="AA67" s="250">
        <v>0</v>
      </c>
      <c r="AB67" s="250">
        <v>0</v>
      </c>
      <c r="AC67" s="250">
        <v>0</v>
      </c>
      <c r="AD67" s="250">
        <v>0</v>
      </c>
      <c r="AE67" s="250">
        <v>0</v>
      </c>
      <c r="AF67" s="250">
        <v>0</v>
      </c>
      <c r="AG67" s="250">
        <v>0</v>
      </c>
      <c r="AH67" s="250">
        <v>0</v>
      </c>
      <c r="AI67" s="250">
        <v>0</v>
      </c>
      <c r="AJ67" s="250">
        <v>0</v>
      </c>
      <c r="AK67" s="250">
        <v>0</v>
      </c>
      <c r="AL67" s="250">
        <v>0</v>
      </c>
      <c r="AM67" s="250">
        <v>0</v>
      </c>
      <c r="AN67" s="248">
        <f t="shared" si="5"/>
        <v>0</v>
      </c>
      <c r="AO67" s="248">
        <f t="shared" si="6"/>
        <v>0</v>
      </c>
      <c r="AP67" s="248">
        <f t="shared" si="7"/>
        <v>0</v>
      </c>
      <c r="AQ67" s="248">
        <f t="shared" si="8"/>
        <v>0</v>
      </c>
      <c r="AR67" s="248">
        <f t="shared" si="9"/>
        <v>0</v>
      </c>
      <c r="AS67" s="248">
        <f t="shared" si="10"/>
        <v>0</v>
      </c>
      <c r="AT67" s="248">
        <f t="shared" si="11"/>
        <v>0</v>
      </c>
      <c r="AU67" s="250">
        <v>0</v>
      </c>
      <c r="AV67" s="250">
        <v>0</v>
      </c>
      <c r="AW67" s="250">
        <v>0</v>
      </c>
      <c r="AX67" s="250">
        <v>0</v>
      </c>
      <c r="AY67" s="250">
        <v>0</v>
      </c>
      <c r="AZ67" s="250">
        <v>0</v>
      </c>
      <c r="BA67" s="250">
        <v>0</v>
      </c>
      <c r="BB67" s="250">
        <v>0</v>
      </c>
      <c r="BC67" s="250">
        <v>0</v>
      </c>
      <c r="BD67" s="250">
        <v>0</v>
      </c>
      <c r="BE67" s="250">
        <v>0</v>
      </c>
      <c r="BF67" s="250">
        <v>0</v>
      </c>
      <c r="BG67" s="250">
        <v>0</v>
      </c>
      <c r="BH67" s="250">
        <v>0</v>
      </c>
      <c r="BI67" s="250">
        <v>0</v>
      </c>
      <c r="BJ67" s="250">
        <v>0</v>
      </c>
      <c r="BK67" s="250">
        <v>0</v>
      </c>
      <c r="BL67" s="250">
        <v>0</v>
      </c>
      <c r="BM67" s="250">
        <v>0</v>
      </c>
      <c r="BN67" s="250">
        <v>0</v>
      </c>
      <c r="BO67" s="250">
        <v>0</v>
      </c>
      <c r="BP67" s="250">
        <v>0</v>
      </c>
      <c r="BQ67" s="250">
        <v>0</v>
      </c>
      <c r="BR67" s="250">
        <v>0</v>
      </c>
      <c r="BS67" s="250">
        <v>0</v>
      </c>
      <c r="BT67" s="250">
        <v>0</v>
      </c>
      <c r="BU67" s="250">
        <v>0</v>
      </c>
      <c r="BV67" s="250">
        <v>0</v>
      </c>
      <c r="BW67" s="248">
        <f t="shared" si="13"/>
        <v>0</v>
      </c>
      <c r="BX67" s="248">
        <f t="shared" si="14"/>
        <v>0</v>
      </c>
      <c r="BY67" s="248">
        <f t="shared" si="15"/>
        <v>0</v>
      </c>
      <c r="BZ67" s="248">
        <f t="shared" si="16"/>
        <v>0</v>
      </c>
      <c r="CA67" s="248">
        <f t="shared" si="17"/>
        <v>0</v>
      </c>
      <c r="CB67" s="248">
        <f t="shared" si="18"/>
        <v>0</v>
      </c>
      <c r="CC67" s="248">
        <f t="shared" si="19"/>
        <v>0</v>
      </c>
      <c r="CD67" s="518" t="e">
        <f>'10'!#REF!</f>
        <v>#REF!</v>
      </c>
    </row>
    <row r="68" spans="1:82" s="65" customFormat="1" ht="189">
      <c r="A68" s="237" t="s">
        <v>904</v>
      </c>
      <c r="B68" s="238" t="s">
        <v>901</v>
      </c>
      <c r="C68" s="202" t="s">
        <v>876</v>
      </c>
      <c r="D68" s="163" t="s">
        <v>876</v>
      </c>
      <c r="E68" s="252">
        <v>0</v>
      </c>
      <c r="F68" s="252">
        <v>0</v>
      </c>
      <c r="G68" s="252">
        <v>0</v>
      </c>
      <c r="H68" s="252">
        <v>0</v>
      </c>
      <c r="I68" s="252">
        <v>0</v>
      </c>
      <c r="J68" s="252">
        <v>0</v>
      </c>
      <c r="K68" s="252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250">
        <v>0</v>
      </c>
      <c r="X68" s="250">
        <v>0</v>
      </c>
      <c r="Y68" s="250">
        <v>0</v>
      </c>
      <c r="Z68" s="250">
        <v>0</v>
      </c>
      <c r="AA68" s="250">
        <v>0</v>
      </c>
      <c r="AB68" s="250">
        <v>0</v>
      </c>
      <c r="AC68" s="250">
        <v>0</v>
      </c>
      <c r="AD68" s="250">
        <v>0</v>
      </c>
      <c r="AE68" s="250">
        <v>0</v>
      </c>
      <c r="AF68" s="250">
        <v>0</v>
      </c>
      <c r="AG68" s="250">
        <v>0</v>
      </c>
      <c r="AH68" s="250">
        <v>0</v>
      </c>
      <c r="AI68" s="250">
        <v>0</v>
      </c>
      <c r="AJ68" s="250">
        <v>0</v>
      </c>
      <c r="AK68" s="250">
        <v>0</v>
      </c>
      <c r="AL68" s="250">
        <v>0</v>
      </c>
      <c r="AM68" s="250">
        <v>0</v>
      </c>
      <c r="AN68" s="248">
        <f t="shared" si="5"/>
        <v>0</v>
      </c>
      <c r="AO68" s="248">
        <f t="shared" si="6"/>
        <v>0</v>
      </c>
      <c r="AP68" s="248">
        <f t="shared" si="7"/>
        <v>0</v>
      </c>
      <c r="AQ68" s="248">
        <f t="shared" si="8"/>
        <v>0</v>
      </c>
      <c r="AR68" s="248">
        <f t="shared" si="9"/>
        <v>0</v>
      </c>
      <c r="AS68" s="248">
        <f t="shared" si="10"/>
        <v>0</v>
      </c>
      <c r="AT68" s="248">
        <f t="shared" si="11"/>
        <v>0</v>
      </c>
      <c r="AU68" s="250">
        <v>0</v>
      </c>
      <c r="AV68" s="250">
        <v>0</v>
      </c>
      <c r="AW68" s="250">
        <v>0</v>
      </c>
      <c r="AX68" s="250">
        <v>0</v>
      </c>
      <c r="AY68" s="250">
        <v>0</v>
      </c>
      <c r="AZ68" s="250">
        <v>0</v>
      </c>
      <c r="BA68" s="250">
        <v>0</v>
      </c>
      <c r="BB68" s="250">
        <v>0</v>
      </c>
      <c r="BC68" s="250">
        <v>0</v>
      </c>
      <c r="BD68" s="250">
        <v>0</v>
      </c>
      <c r="BE68" s="250">
        <v>0</v>
      </c>
      <c r="BF68" s="250">
        <v>0</v>
      </c>
      <c r="BG68" s="250">
        <v>0</v>
      </c>
      <c r="BH68" s="250">
        <v>0</v>
      </c>
      <c r="BI68" s="250">
        <v>0</v>
      </c>
      <c r="BJ68" s="250">
        <v>0</v>
      </c>
      <c r="BK68" s="250">
        <v>0</v>
      </c>
      <c r="BL68" s="250">
        <v>0</v>
      </c>
      <c r="BM68" s="250">
        <v>0</v>
      </c>
      <c r="BN68" s="250">
        <v>0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0</v>
      </c>
      <c r="BW68" s="248">
        <f t="shared" si="13"/>
        <v>0</v>
      </c>
      <c r="BX68" s="248">
        <f t="shared" si="14"/>
        <v>0</v>
      </c>
      <c r="BY68" s="248">
        <f t="shared" si="15"/>
        <v>0</v>
      </c>
      <c r="BZ68" s="248">
        <f t="shared" si="16"/>
        <v>0</v>
      </c>
      <c r="CA68" s="248">
        <f t="shared" si="17"/>
        <v>0</v>
      </c>
      <c r="CB68" s="248">
        <f t="shared" si="18"/>
        <v>0</v>
      </c>
      <c r="CC68" s="248">
        <f t="shared" si="19"/>
        <v>0</v>
      </c>
      <c r="CD68" s="518" t="e">
        <f>'10'!#REF!</f>
        <v>#REF!</v>
      </c>
    </row>
    <row r="69" spans="1:82" s="65" customFormat="1" ht="157.5">
      <c r="A69" s="237" t="s">
        <v>904</v>
      </c>
      <c r="B69" s="238" t="s">
        <v>902</v>
      </c>
      <c r="C69" s="202" t="s">
        <v>876</v>
      </c>
      <c r="D69" s="163" t="s">
        <v>876</v>
      </c>
      <c r="E69" s="252">
        <v>0</v>
      </c>
      <c r="F69" s="252">
        <v>0</v>
      </c>
      <c r="G69" s="252">
        <v>0</v>
      </c>
      <c r="H69" s="252">
        <v>0</v>
      </c>
      <c r="I69" s="252">
        <v>0</v>
      </c>
      <c r="J69" s="252">
        <v>0</v>
      </c>
      <c r="K69" s="252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250">
        <v>0</v>
      </c>
      <c r="X69" s="250">
        <v>0</v>
      </c>
      <c r="Y69" s="250">
        <v>0</v>
      </c>
      <c r="Z69" s="250">
        <v>0</v>
      </c>
      <c r="AA69" s="250">
        <v>0</v>
      </c>
      <c r="AB69" s="250">
        <v>0</v>
      </c>
      <c r="AC69" s="250">
        <v>0</v>
      </c>
      <c r="AD69" s="250">
        <v>0</v>
      </c>
      <c r="AE69" s="250">
        <v>0</v>
      </c>
      <c r="AF69" s="250">
        <v>0</v>
      </c>
      <c r="AG69" s="250">
        <v>0</v>
      </c>
      <c r="AH69" s="250">
        <v>0</v>
      </c>
      <c r="AI69" s="250">
        <v>0</v>
      </c>
      <c r="AJ69" s="250">
        <v>0</v>
      </c>
      <c r="AK69" s="250">
        <v>0</v>
      </c>
      <c r="AL69" s="250">
        <v>0</v>
      </c>
      <c r="AM69" s="250">
        <v>0</v>
      </c>
      <c r="AN69" s="248">
        <f t="shared" si="5"/>
        <v>0</v>
      </c>
      <c r="AO69" s="248">
        <f t="shared" si="6"/>
        <v>0</v>
      </c>
      <c r="AP69" s="248">
        <f t="shared" si="7"/>
        <v>0</v>
      </c>
      <c r="AQ69" s="248">
        <f t="shared" si="8"/>
        <v>0</v>
      </c>
      <c r="AR69" s="248">
        <f t="shared" si="9"/>
        <v>0</v>
      </c>
      <c r="AS69" s="248">
        <f t="shared" si="10"/>
        <v>0</v>
      </c>
      <c r="AT69" s="248">
        <f t="shared" si="11"/>
        <v>0</v>
      </c>
      <c r="AU69" s="250">
        <v>0</v>
      </c>
      <c r="AV69" s="250">
        <v>0</v>
      </c>
      <c r="AW69" s="250">
        <v>0</v>
      </c>
      <c r="AX69" s="250">
        <v>0</v>
      </c>
      <c r="AY69" s="250">
        <v>0</v>
      </c>
      <c r="AZ69" s="250">
        <v>0</v>
      </c>
      <c r="BA69" s="250">
        <v>0</v>
      </c>
      <c r="BB69" s="250">
        <v>0</v>
      </c>
      <c r="BC69" s="250">
        <v>0</v>
      </c>
      <c r="BD69" s="250">
        <v>0</v>
      </c>
      <c r="BE69" s="250">
        <v>0</v>
      </c>
      <c r="BF69" s="250">
        <v>0</v>
      </c>
      <c r="BG69" s="250">
        <v>0</v>
      </c>
      <c r="BH69" s="250">
        <v>0</v>
      </c>
      <c r="BI69" s="250">
        <v>0</v>
      </c>
      <c r="BJ69" s="250">
        <v>0</v>
      </c>
      <c r="BK69" s="250">
        <v>0</v>
      </c>
      <c r="BL69" s="250">
        <v>0</v>
      </c>
      <c r="BM69" s="250">
        <v>0</v>
      </c>
      <c r="BN69" s="250">
        <v>0</v>
      </c>
      <c r="BO69" s="250">
        <v>0</v>
      </c>
      <c r="BP69" s="250">
        <v>0</v>
      </c>
      <c r="BQ69" s="250">
        <v>0</v>
      </c>
      <c r="BR69" s="250">
        <v>0</v>
      </c>
      <c r="BS69" s="250">
        <v>0</v>
      </c>
      <c r="BT69" s="250">
        <v>0</v>
      </c>
      <c r="BU69" s="250">
        <v>0</v>
      </c>
      <c r="BV69" s="250">
        <v>0</v>
      </c>
      <c r="BW69" s="248">
        <f t="shared" si="13"/>
        <v>0</v>
      </c>
      <c r="BX69" s="248">
        <f t="shared" si="14"/>
        <v>0</v>
      </c>
      <c r="BY69" s="248">
        <f t="shared" si="15"/>
        <v>0</v>
      </c>
      <c r="BZ69" s="248">
        <f t="shared" si="16"/>
        <v>0</v>
      </c>
      <c r="CA69" s="248">
        <f t="shared" si="17"/>
        <v>0</v>
      </c>
      <c r="CB69" s="248">
        <f t="shared" si="18"/>
        <v>0</v>
      </c>
      <c r="CC69" s="248">
        <f t="shared" si="19"/>
        <v>0</v>
      </c>
      <c r="CD69" s="518" t="e">
        <f>'10'!#REF!</f>
        <v>#REF!</v>
      </c>
    </row>
    <row r="70" spans="1:82" s="65" customFormat="1" ht="173.25">
      <c r="A70" s="237" t="s">
        <v>904</v>
      </c>
      <c r="B70" s="238" t="s">
        <v>903</v>
      </c>
      <c r="C70" s="202" t="s">
        <v>876</v>
      </c>
      <c r="D70" s="163" t="s">
        <v>876</v>
      </c>
      <c r="E70" s="252">
        <v>0</v>
      </c>
      <c r="F70" s="252">
        <v>0</v>
      </c>
      <c r="G70" s="252">
        <v>0</v>
      </c>
      <c r="H70" s="252">
        <v>0</v>
      </c>
      <c r="I70" s="252">
        <v>0</v>
      </c>
      <c r="J70" s="252">
        <v>0</v>
      </c>
      <c r="K70" s="252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250">
        <v>0</v>
      </c>
      <c r="X70" s="250">
        <v>0</v>
      </c>
      <c r="Y70" s="250">
        <v>0</v>
      </c>
      <c r="Z70" s="250">
        <v>0</v>
      </c>
      <c r="AA70" s="250">
        <v>0</v>
      </c>
      <c r="AB70" s="250">
        <v>0</v>
      </c>
      <c r="AC70" s="250">
        <v>0</v>
      </c>
      <c r="AD70" s="250">
        <v>0</v>
      </c>
      <c r="AE70" s="250">
        <v>0</v>
      </c>
      <c r="AF70" s="250">
        <v>0</v>
      </c>
      <c r="AG70" s="250">
        <v>0</v>
      </c>
      <c r="AH70" s="250">
        <v>0</v>
      </c>
      <c r="AI70" s="250">
        <v>0</v>
      </c>
      <c r="AJ70" s="250">
        <v>0</v>
      </c>
      <c r="AK70" s="250">
        <v>0</v>
      </c>
      <c r="AL70" s="250">
        <v>0</v>
      </c>
      <c r="AM70" s="250">
        <v>0</v>
      </c>
      <c r="AN70" s="248">
        <f t="shared" si="5"/>
        <v>0</v>
      </c>
      <c r="AO70" s="248">
        <f t="shared" si="6"/>
        <v>0</v>
      </c>
      <c r="AP70" s="248">
        <f t="shared" si="7"/>
        <v>0</v>
      </c>
      <c r="AQ70" s="248">
        <f t="shared" si="8"/>
        <v>0</v>
      </c>
      <c r="AR70" s="248">
        <f t="shared" si="9"/>
        <v>0</v>
      </c>
      <c r="AS70" s="248">
        <f t="shared" si="10"/>
        <v>0</v>
      </c>
      <c r="AT70" s="248">
        <f t="shared" si="11"/>
        <v>0</v>
      </c>
      <c r="AU70" s="250">
        <v>0</v>
      </c>
      <c r="AV70" s="250">
        <v>0</v>
      </c>
      <c r="AW70" s="250">
        <v>0</v>
      </c>
      <c r="AX70" s="250">
        <v>0</v>
      </c>
      <c r="AY70" s="250">
        <v>0</v>
      </c>
      <c r="AZ70" s="250">
        <v>0</v>
      </c>
      <c r="BA70" s="250">
        <v>0</v>
      </c>
      <c r="BB70" s="250">
        <v>0</v>
      </c>
      <c r="BC70" s="250">
        <v>0</v>
      </c>
      <c r="BD70" s="250">
        <v>0</v>
      </c>
      <c r="BE70" s="250">
        <v>0</v>
      </c>
      <c r="BF70" s="250">
        <v>0</v>
      </c>
      <c r="BG70" s="250">
        <v>0</v>
      </c>
      <c r="BH70" s="250">
        <v>0</v>
      </c>
      <c r="BI70" s="250">
        <v>0</v>
      </c>
      <c r="BJ70" s="250">
        <v>0</v>
      </c>
      <c r="BK70" s="250">
        <v>0</v>
      </c>
      <c r="BL70" s="250">
        <v>0</v>
      </c>
      <c r="BM70" s="250">
        <v>0</v>
      </c>
      <c r="BN70" s="250">
        <v>0</v>
      </c>
      <c r="BO70" s="250">
        <v>0</v>
      </c>
      <c r="BP70" s="250">
        <v>0</v>
      </c>
      <c r="BQ70" s="250">
        <v>0</v>
      </c>
      <c r="BR70" s="250">
        <v>0</v>
      </c>
      <c r="BS70" s="250">
        <v>0</v>
      </c>
      <c r="BT70" s="250">
        <v>0</v>
      </c>
      <c r="BU70" s="250">
        <v>0</v>
      </c>
      <c r="BV70" s="250">
        <v>0</v>
      </c>
      <c r="BW70" s="248">
        <f t="shared" si="13"/>
        <v>0</v>
      </c>
      <c r="BX70" s="248">
        <f t="shared" si="14"/>
        <v>0</v>
      </c>
      <c r="BY70" s="248">
        <f t="shared" si="15"/>
        <v>0</v>
      </c>
      <c r="BZ70" s="248">
        <f t="shared" si="16"/>
        <v>0</v>
      </c>
      <c r="CA70" s="248">
        <f t="shared" si="17"/>
        <v>0</v>
      </c>
      <c r="CB70" s="248">
        <f t="shared" si="18"/>
        <v>0</v>
      </c>
      <c r="CC70" s="248">
        <f t="shared" si="19"/>
        <v>0</v>
      </c>
      <c r="CD70" s="518" t="e">
        <f>'10'!#REF!</f>
        <v>#REF!</v>
      </c>
    </row>
    <row r="71" spans="1:82" s="65" customFormat="1" ht="157.5">
      <c r="A71" s="239" t="s">
        <v>905</v>
      </c>
      <c r="B71" s="238" t="s">
        <v>906</v>
      </c>
      <c r="C71" s="202" t="s">
        <v>876</v>
      </c>
      <c r="D71" s="163" t="s">
        <v>876</v>
      </c>
      <c r="E71" s="252">
        <v>0</v>
      </c>
      <c r="F71" s="252">
        <v>0</v>
      </c>
      <c r="G71" s="252">
        <v>0</v>
      </c>
      <c r="H71" s="252">
        <v>0</v>
      </c>
      <c r="I71" s="252">
        <v>0</v>
      </c>
      <c r="J71" s="252">
        <v>0</v>
      </c>
      <c r="K71" s="252">
        <v>0</v>
      </c>
      <c r="L71" s="250">
        <f t="shared" ref="L71:AM71" si="81">L72+L73</f>
        <v>0</v>
      </c>
      <c r="M71" s="250">
        <f t="shared" si="81"/>
        <v>0</v>
      </c>
      <c r="N71" s="250">
        <f t="shared" si="81"/>
        <v>0</v>
      </c>
      <c r="O71" s="250">
        <f t="shared" si="81"/>
        <v>0</v>
      </c>
      <c r="P71" s="250">
        <f t="shared" si="81"/>
        <v>0</v>
      </c>
      <c r="Q71" s="250">
        <f t="shared" si="81"/>
        <v>0</v>
      </c>
      <c r="R71" s="250">
        <f t="shared" si="81"/>
        <v>0</v>
      </c>
      <c r="S71" s="250">
        <f t="shared" si="81"/>
        <v>0</v>
      </c>
      <c r="T71" s="250">
        <f t="shared" si="81"/>
        <v>0</v>
      </c>
      <c r="U71" s="250">
        <f t="shared" si="81"/>
        <v>0</v>
      </c>
      <c r="V71" s="250">
        <f t="shared" si="81"/>
        <v>0</v>
      </c>
      <c r="W71" s="250">
        <f t="shared" si="81"/>
        <v>0</v>
      </c>
      <c r="X71" s="250">
        <f t="shared" si="81"/>
        <v>0</v>
      </c>
      <c r="Y71" s="250">
        <f t="shared" si="81"/>
        <v>0</v>
      </c>
      <c r="Z71" s="250">
        <f t="shared" si="81"/>
        <v>0</v>
      </c>
      <c r="AA71" s="250">
        <f t="shared" si="81"/>
        <v>0</v>
      </c>
      <c r="AB71" s="250">
        <f t="shared" si="81"/>
        <v>0</v>
      </c>
      <c r="AC71" s="250">
        <f t="shared" si="81"/>
        <v>0</v>
      </c>
      <c r="AD71" s="250">
        <f t="shared" si="81"/>
        <v>0</v>
      </c>
      <c r="AE71" s="250">
        <f t="shared" si="81"/>
        <v>0</v>
      </c>
      <c r="AF71" s="250">
        <f t="shared" si="81"/>
        <v>0</v>
      </c>
      <c r="AG71" s="250">
        <f t="shared" si="81"/>
        <v>0</v>
      </c>
      <c r="AH71" s="250">
        <f t="shared" si="81"/>
        <v>0</v>
      </c>
      <c r="AI71" s="250">
        <f t="shared" si="81"/>
        <v>0</v>
      </c>
      <c r="AJ71" s="250">
        <f t="shared" si="81"/>
        <v>0</v>
      </c>
      <c r="AK71" s="250">
        <f t="shared" si="81"/>
        <v>0</v>
      </c>
      <c r="AL71" s="250">
        <f t="shared" si="81"/>
        <v>0</v>
      </c>
      <c r="AM71" s="250">
        <f t="shared" si="81"/>
        <v>0</v>
      </c>
      <c r="AN71" s="248">
        <f t="shared" si="5"/>
        <v>0</v>
      </c>
      <c r="AO71" s="248">
        <f t="shared" si="6"/>
        <v>0</v>
      </c>
      <c r="AP71" s="248">
        <f t="shared" si="7"/>
        <v>0</v>
      </c>
      <c r="AQ71" s="248">
        <f t="shared" si="8"/>
        <v>0</v>
      </c>
      <c r="AR71" s="248">
        <f t="shared" si="9"/>
        <v>0</v>
      </c>
      <c r="AS71" s="248">
        <f t="shared" si="10"/>
        <v>0</v>
      </c>
      <c r="AT71" s="248">
        <f t="shared" si="11"/>
        <v>0</v>
      </c>
      <c r="AU71" s="250">
        <f t="shared" ref="AU71:BV71" si="82">AU72+AU73</f>
        <v>0</v>
      </c>
      <c r="AV71" s="250">
        <f t="shared" si="82"/>
        <v>0</v>
      </c>
      <c r="AW71" s="250">
        <f t="shared" si="82"/>
        <v>0</v>
      </c>
      <c r="AX71" s="250">
        <f t="shared" si="82"/>
        <v>0</v>
      </c>
      <c r="AY71" s="250">
        <f t="shared" si="82"/>
        <v>0</v>
      </c>
      <c r="AZ71" s="250">
        <f t="shared" si="82"/>
        <v>0</v>
      </c>
      <c r="BA71" s="250">
        <f t="shared" si="82"/>
        <v>0</v>
      </c>
      <c r="BB71" s="250">
        <f t="shared" si="82"/>
        <v>0</v>
      </c>
      <c r="BC71" s="250">
        <f t="shared" si="82"/>
        <v>0</v>
      </c>
      <c r="BD71" s="250">
        <f t="shared" si="82"/>
        <v>0</v>
      </c>
      <c r="BE71" s="250">
        <f t="shared" si="82"/>
        <v>0</v>
      </c>
      <c r="BF71" s="250">
        <f t="shared" si="82"/>
        <v>0</v>
      </c>
      <c r="BG71" s="250">
        <f t="shared" si="82"/>
        <v>0</v>
      </c>
      <c r="BH71" s="250">
        <f t="shared" si="82"/>
        <v>0</v>
      </c>
      <c r="BI71" s="250">
        <f t="shared" si="82"/>
        <v>0</v>
      </c>
      <c r="BJ71" s="250">
        <f t="shared" si="82"/>
        <v>0</v>
      </c>
      <c r="BK71" s="250">
        <f t="shared" si="82"/>
        <v>0</v>
      </c>
      <c r="BL71" s="250">
        <f t="shared" si="82"/>
        <v>0</v>
      </c>
      <c r="BM71" s="250">
        <f t="shared" si="82"/>
        <v>0</v>
      </c>
      <c r="BN71" s="250">
        <f t="shared" si="82"/>
        <v>0</v>
      </c>
      <c r="BO71" s="250">
        <f t="shared" si="82"/>
        <v>0</v>
      </c>
      <c r="BP71" s="250">
        <f t="shared" si="82"/>
        <v>0</v>
      </c>
      <c r="BQ71" s="250">
        <f t="shared" si="82"/>
        <v>0</v>
      </c>
      <c r="BR71" s="250">
        <f t="shared" si="82"/>
        <v>0</v>
      </c>
      <c r="BS71" s="250">
        <f t="shared" si="82"/>
        <v>0</v>
      </c>
      <c r="BT71" s="250">
        <f t="shared" si="82"/>
        <v>0</v>
      </c>
      <c r="BU71" s="250">
        <f t="shared" si="82"/>
        <v>0</v>
      </c>
      <c r="BV71" s="250">
        <f t="shared" si="82"/>
        <v>0</v>
      </c>
      <c r="BW71" s="248">
        <f t="shared" si="13"/>
        <v>0</v>
      </c>
      <c r="BX71" s="248">
        <f t="shared" si="14"/>
        <v>0</v>
      </c>
      <c r="BY71" s="248">
        <f t="shared" si="15"/>
        <v>0</v>
      </c>
      <c r="BZ71" s="248">
        <f t="shared" si="16"/>
        <v>0</v>
      </c>
      <c r="CA71" s="248">
        <f t="shared" si="17"/>
        <v>0</v>
      </c>
      <c r="CB71" s="248">
        <f t="shared" si="18"/>
        <v>0</v>
      </c>
      <c r="CC71" s="248">
        <f t="shared" si="19"/>
        <v>0</v>
      </c>
      <c r="CD71" s="518" t="e">
        <f>'10'!#REF!</f>
        <v>#REF!</v>
      </c>
    </row>
    <row r="72" spans="1:82" s="65" customFormat="1" ht="157.5">
      <c r="A72" s="237" t="s">
        <v>907</v>
      </c>
      <c r="B72" s="238" t="s">
        <v>902</v>
      </c>
      <c r="C72" s="202" t="s">
        <v>876</v>
      </c>
      <c r="D72" s="163" t="s">
        <v>876</v>
      </c>
      <c r="E72" s="252">
        <v>0</v>
      </c>
      <c r="F72" s="252">
        <v>0</v>
      </c>
      <c r="G72" s="252">
        <v>0</v>
      </c>
      <c r="H72" s="252">
        <v>0</v>
      </c>
      <c r="I72" s="252">
        <v>0</v>
      </c>
      <c r="J72" s="252">
        <v>0</v>
      </c>
      <c r="K72" s="252">
        <v>0</v>
      </c>
      <c r="L72" s="250">
        <v>0</v>
      </c>
      <c r="M72" s="250">
        <v>0</v>
      </c>
      <c r="N72" s="250">
        <v>0</v>
      </c>
      <c r="O72" s="250">
        <v>0</v>
      </c>
      <c r="P72" s="250">
        <v>0</v>
      </c>
      <c r="Q72" s="250">
        <v>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250">
        <v>0</v>
      </c>
      <c r="X72" s="250">
        <v>0</v>
      </c>
      <c r="Y72" s="250">
        <v>0</v>
      </c>
      <c r="Z72" s="250">
        <v>0</v>
      </c>
      <c r="AA72" s="250">
        <v>0</v>
      </c>
      <c r="AB72" s="250">
        <v>0</v>
      </c>
      <c r="AC72" s="250">
        <v>0</v>
      </c>
      <c r="AD72" s="250">
        <v>0</v>
      </c>
      <c r="AE72" s="250">
        <v>0</v>
      </c>
      <c r="AF72" s="250">
        <v>0</v>
      </c>
      <c r="AG72" s="250">
        <v>0</v>
      </c>
      <c r="AH72" s="250">
        <v>0</v>
      </c>
      <c r="AI72" s="250">
        <v>0</v>
      </c>
      <c r="AJ72" s="250">
        <v>0</v>
      </c>
      <c r="AK72" s="250">
        <v>0</v>
      </c>
      <c r="AL72" s="250">
        <v>0</v>
      </c>
      <c r="AM72" s="250">
        <v>0</v>
      </c>
      <c r="AN72" s="248">
        <f t="shared" si="5"/>
        <v>0</v>
      </c>
      <c r="AO72" s="248">
        <f t="shared" si="6"/>
        <v>0</v>
      </c>
      <c r="AP72" s="248">
        <f t="shared" si="7"/>
        <v>0</v>
      </c>
      <c r="AQ72" s="248">
        <f t="shared" si="8"/>
        <v>0</v>
      </c>
      <c r="AR72" s="248">
        <f t="shared" si="9"/>
        <v>0</v>
      </c>
      <c r="AS72" s="248">
        <f t="shared" si="10"/>
        <v>0</v>
      </c>
      <c r="AT72" s="248">
        <f t="shared" si="11"/>
        <v>0</v>
      </c>
      <c r="AU72" s="250">
        <v>0</v>
      </c>
      <c r="AV72" s="250">
        <v>0</v>
      </c>
      <c r="AW72" s="250">
        <v>0</v>
      </c>
      <c r="AX72" s="250">
        <v>0</v>
      </c>
      <c r="AY72" s="250">
        <v>0</v>
      </c>
      <c r="AZ72" s="250">
        <v>0</v>
      </c>
      <c r="BA72" s="250">
        <v>0</v>
      </c>
      <c r="BB72" s="250">
        <v>0</v>
      </c>
      <c r="BC72" s="250">
        <v>0</v>
      </c>
      <c r="BD72" s="250">
        <v>0</v>
      </c>
      <c r="BE72" s="250">
        <v>0</v>
      </c>
      <c r="BF72" s="250">
        <v>0</v>
      </c>
      <c r="BG72" s="250">
        <v>0</v>
      </c>
      <c r="BH72" s="250">
        <v>0</v>
      </c>
      <c r="BI72" s="250">
        <v>0</v>
      </c>
      <c r="BJ72" s="250">
        <v>0</v>
      </c>
      <c r="BK72" s="250">
        <v>0</v>
      </c>
      <c r="BL72" s="250">
        <v>0</v>
      </c>
      <c r="BM72" s="250">
        <v>0</v>
      </c>
      <c r="BN72" s="250">
        <v>0</v>
      </c>
      <c r="BO72" s="250">
        <v>0</v>
      </c>
      <c r="BP72" s="250">
        <v>0</v>
      </c>
      <c r="BQ72" s="250">
        <v>0</v>
      </c>
      <c r="BR72" s="250">
        <v>0</v>
      </c>
      <c r="BS72" s="250">
        <v>0</v>
      </c>
      <c r="BT72" s="250">
        <v>0</v>
      </c>
      <c r="BU72" s="250">
        <v>0</v>
      </c>
      <c r="BV72" s="250">
        <v>0</v>
      </c>
      <c r="BW72" s="248">
        <f t="shared" si="13"/>
        <v>0</v>
      </c>
      <c r="BX72" s="248">
        <f t="shared" si="14"/>
        <v>0</v>
      </c>
      <c r="BY72" s="248">
        <f t="shared" si="15"/>
        <v>0</v>
      </c>
      <c r="BZ72" s="248">
        <f t="shared" si="16"/>
        <v>0</v>
      </c>
      <c r="CA72" s="248">
        <f t="shared" si="17"/>
        <v>0</v>
      </c>
      <c r="CB72" s="248">
        <f t="shared" si="18"/>
        <v>0</v>
      </c>
      <c r="CC72" s="248">
        <f t="shared" si="19"/>
        <v>0</v>
      </c>
      <c r="CD72" s="518" t="e">
        <f>'10'!#REF!</f>
        <v>#REF!</v>
      </c>
    </row>
    <row r="73" spans="1:82" s="65" customFormat="1" ht="141.75">
      <c r="A73" s="237" t="s">
        <v>908</v>
      </c>
      <c r="B73" s="238" t="s">
        <v>909</v>
      </c>
      <c r="C73" s="202" t="s">
        <v>876</v>
      </c>
      <c r="D73" s="163" t="s">
        <v>876</v>
      </c>
      <c r="E73" s="252">
        <v>0</v>
      </c>
      <c r="F73" s="252">
        <v>0</v>
      </c>
      <c r="G73" s="252">
        <v>0</v>
      </c>
      <c r="H73" s="252">
        <v>0</v>
      </c>
      <c r="I73" s="252">
        <v>0</v>
      </c>
      <c r="J73" s="252">
        <v>0</v>
      </c>
      <c r="K73" s="252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250">
        <v>0</v>
      </c>
      <c r="X73" s="250">
        <v>0</v>
      </c>
      <c r="Y73" s="250">
        <v>0</v>
      </c>
      <c r="Z73" s="250">
        <v>0</v>
      </c>
      <c r="AA73" s="250">
        <v>0</v>
      </c>
      <c r="AB73" s="250">
        <v>0</v>
      </c>
      <c r="AC73" s="250">
        <v>0</v>
      </c>
      <c r="AD73" s="250">
        <v>0</v>
      </c>
      <c r="AE73" s="250">
        <v>0</v>
      </c>
      <c r="AF73" s="250">
        <v>0</v>
      </c>
      <c r="AG73" s="250">
        <v>0</v>
      </c>
      <c r="AH73" s="250">
        <v>0</v>
      </c>
      <c r="AI73" s="250">
        <v>0</v>
      </c>
      <c r="AJ73" s="250">
        <v>0</v>
      </c>
      <c r="AK73" s="250">
        <v>0</v>
      </c>
      <c r="AL73" s="250">
        <v>0</v>
      </c>
      <c r="AM73" s="250">
        <v>0</v>
      </c>
      <c r="AN73" s="248">
        <f t="shared" si="5"/>
        <v>0</v>
      </c>
      <c r="AO73" s="248">
        <f t="shared" si="6"/>
        <v>0</v>
      </c>
      <c r="AP73" s="248">
        <f t="shared" si="7"/>
        <v>0</v>
      </c>
      <c r="AQ73" s="248">
        <f t="shared" si="8"/>
        <v>0</v>
      </c>
      <c r="AR73" s="248">
        <f t="shared" si="9"/>
        <v>0</v>
      </c>
      <c r="AS73" s="248">
        <f t="shared" si="10"/>
        <v>0</v>
      </c>
      <c r="AT73" s="248">
        <f t="shared" si="11"/>
        <v>0</v>
      </c>
      <c r="AU73" s="250">
        <v>0</v>
      </c>
      <c r="AV73" s="250">
        <v>0</v>
      </c>
      <c r="AW73" s="250">
        <v>0</v>
      </c>
      <c r="AX73" s="250">
        <v>0</v>
      </c>
      <c r="AY73" s="250">
        <v>0</v>
      </c>
      <c r="AZ73" s="250">
        <v>0</v>
      </c>
      <c r="BA73" s="250">
        <v>0</v>
      </c>
      <c r="BB73" s="250">
        <v>0</v>
      </c>
      <c r="BC73" s="250">
        <v>0</v>
      </c>
      <c r="BD73" s="250">
        <v>0</v>
      </c>
      <c r="BE73" s="250">
        <v>0</v>
      </c>
      <c r="BF73" s="250">
        <v>0</v>
      </c>
      <c r="BG73" s="250">
        <v>0</v>
      </c>
      <c r="BH73" s="250">
        <v>0</v>
      </c>
      <c r="BI73" s="250">
        <v>0</v>
      </c>
      <c r="BJ73" s="250">
        <v>0</v>
      </c>
      <c r="BK73" s="250">
        <v>0</v>
      </c>
      <c r="BL73" s="250">
        <v>0</v>
      </c>
      <c r="BM73" s="250">
        <v>0</v>
      </c>
      <c r="BN73" s="250">
        <v>0</v>
      </c>
      <c r="BO73" s="250">
        <v>0</v>
      </c>
      <c r="BP73" s="250">
        <v>0</v>
      </c>
      <c r="BQ73" s="250">
        <v>0</v>
      </c>
      <c r="BR73" s="250">
        <v>0</v>
      </c>
      <c r="BS73" s="250">
        <v>0</v>
      </c>
      <c r="BT73" s="250">
        <v>0</v>
      </c>
      <c r="BU73" s="250">
        <v>0</v>
      </c>
      <c r="BV73" s="250">
        <v>0</v>
      </c>
      <c r="BW73" s="248">
        <f t="shared" si="13"/>
        <v>0</v>
      </c>
      <c r="BX73" s="248">
        <f t="shared" si="14"/>
        <v>0</v>
      </c>
      <c r="BY73" s="248">
        <f t="shared" si="15"/>
        <v>0</v>
      </c>
      <c r="BZ73" s="248">
        <f t="shared" si="16"/>
        <v>0</v>
      </c>
      <c r="CA73" s="248">
        <f t="shared" si="17"/>
        <v>0</v>
      </c>
      <c r="CB73" s="248">
        <f t="shared" si="18"/>
        <v>0</v>
      </c>
      <c r="CC73" s="248">
        <f t="shared" si="19"/>
        <v>0</v>
      </c>
      <c r="CD73" s="518" t="e">
        <f>'10'!#REF!</f>
        <v>#REF!</v>
      </c>
    </row>
    <row r="74" spans="1:82" s="65" customFormat="1" ht="63">
      <c r="A74" s="239" t="s">
        <v>910</v>
      </c>
      <c r="B74" s="238" t="s">
        <v>911</v>
      </c>
      <c r="C74" s="202" t="s">
        <v>876</v>
      </c>
      <c r="D74" s="163" t="s">
        <v>876</v>
      </c>
      <c r="E74" s="251">
        <v>0</v>
      </c>
      <c r="F74" s="251">
        <v>0</v>
      </c>
      <c r="G74" s="251">
        <v>6.4150000000000009</v>
      </c>
      <c r="H74" s="251">
        <v>0</v>
      </c>
      <c r="I74" s="251">
        <v>0</v>
      </c>
      <c r="J74" s="251">
        <v>0</v>
      </c>
      <c r="K74" s="251">
        <v>0</v>
      </c>
      <c r="L74" s="250">
        <f t="shared" ref="L74:AM74" si="83">L75+L80+L88+L97</f>
        <v>0</v>
      </c>
      <c r="M74" s="250">
        <f t="shared" si="83"/>
        <v>0</v>
      </c>
      <c r="N74" s="250">
        <f t="shared" si="83"/>
        <v>0</v>
      </c>
      <c r="O74" s="250">
        <f t="shared" si="83"/>
        <v>0</v>
      </c>
      <c r="P74" s="250">
        <f t="shared" si="83"/>
        <v>0</v>
      </c>
      <c r="Q74" s="250">
        <f t="shared" si="83"/>
        <v>0</v>
      </c>
      <c r="R74" s="250">
        <f t="shared" si="83"/>
        <v>0</v>
      </c>
      <c r="S74" s="250">
        <f t="shared" si="83"/>
        <v>0</v>
      </c>
      <c r="T74" s="250">
        <f t="shared" si="83"/>
        <v>0</v>
      </c>
      <c r="U74" s="250">
        <f t="shared" si="83"/>
        <v>0</v>
      </c>
      <c r="V74" s="250">
        <f t="shared" si="83"/>
        <v>0</v>
      </c>
      <c r="W74" s="250">
        <f t="shared" si="83"/>
        <v>0</v>
      </c>
      <c r="X74" s="250">
        <f t="shared" si="83"/>
        <v>0</v>
      </c>
      <c r="Y74" s="250">
        <f t="shared" si="83"/>
        <v>0</v>
      </c>
      <c r="Z74" s="250">
        <f t="shared" si="83"/>
        <v>0</v>
      </c>
      <c r="AA74" s="250">
        <f t="shared" si="83"/>
        <v>0</v>
      </c>
      <c r="AB74" s="250">
        <f t="shared" si="83"/>
        <v>0</v>
      </c>
      <c r="AC74" s="250">
        <f t="shared" si="83"/>
        <v>0</v>
      </c>
      <c r="AD74" s="250">
        <f t="shared" si="83"/>
        <v>0</v>
      </c>
      <c r="AE74" s="250">
        <f t="shared" si="83"/>
        <v>0</v>
      </c>
      <c r="AF74" s="250">
        <f t="shared" si="83"/>
        <v>0</v>
      </c>
      <c r="AG74" s="250">
        <f t="shared" si="83"/>
        <v>0</v>
      </c>
      <c r="AH74" s="250">
        <f t="shared" si="83"/>
        <v>0</v>
      </c>
      <c r="AI74" s="250">
        <f t="shared" si="83"/>
        <v>0</v>
      </c>
      <c r="AJ74" s="250">
        <f t="shared" si="83"/>
        <v>0</v>
      </c>
      <c r="AK74" s="250">
        <f t="shared" si="83"/>
        <v>0</v>
      </c>
      <c r="AL74" s="250">
        <f t="shared" si="83"/>
        <v>0</v>
      </c>
      <c r="AM74" s="250">
        <f t="shared" si="83"/>
        <v>0</v>
      </c>
      <c r="AN74" s="248">
        <f t="shared" si="5"/>
        <v>0</v>
      </c>
      <c r="AO74" s="248">
        <f t="shared" si="6"/>
        <v>0</v>
      </c>
      <c r="AP74" s="248">
        <f t="shared" si="7"/>
        <v>2.7749999999999999</v>
      </c>
      <c r="AQ74" s="248">
        <f t="shared" si="8"/>
        <v>0</v>
      </c>
      <c r="AR74" s="248">
        <f t="shared" si="9"/>
        <v>0</v>
      </c>
      <c r="AS74" s="248">
        <f t="shared" si="10"/>
        <v>0</v>
      </c>
      <c r="AT74" s="248">
        <f t="shared" si="11"/>
        <v>0</v>
      </c>
      <c r="AU74" s="250">
        <f t="shared" ref="AU74:BV74" si="84">AU75+AU80+AU88+AU97</f>
        <v>0</v>
      </c>
      <c r="AV74" s="250">
        <f t="shared" si="84"/>
        <v>0</v>
      </c>
      <c r="AW74" s="250">
        <f t="shared" si="84"/>
        <v>0</v>
      </c>
      <c r="AX74" s="250">
        <f t="shared" si="84"/>
        <v>0</v>
      </c>
      <c r="AY74" s="250">
        <f t="shared" si="84"/>
        <v>0</v>
      </c>
      <c r="AZ74" s="250">
        <f t="shared" si="84"/>
        <v>0</v>
      </c>
      <c r="BA74" s="250">
        <f t="shared" si="84"/>
        <v>0</v>
      </c>
      <c r="BB74" s="250">
        <f t="shared" si="84"/>
        <v>0</v>
      </c>
      <c r="BC74" s="250">
        <f t="shared" si="84"/>
        <v>0</v>
      </c>
      <c r="BD74" s="250">
        <f t="shared" si="84"/>
        <v>0</v>
      </c>
      <c r="BE74" s="250">
        <f t="shared" si="84"/>
        <v>0</v>
      </c>
      <c r="BF74" s="250">
        <f t="shared" si="84"/>
        <v>0</v>
      </c>
      <c r="BG74" s="250">
        <f t="shared" si="84"/>
        <v>0</v>
      </c>
      <c r="BH74" s="250">
        <f t="shared" si="84"/>
        <v>0</v>
      </c>
      <c r="BI74" s="250">
        <f t="shared" si="84"/>
        <v>0</v>
      </c>
      <c r="BJ74" s="250">
        <f t="shared" si="84"/>
        <v>0</v>
      </c>
      <c r="BK74" s="250">
        <f t="shared" si="84"/>
        <v>0</v>
      </c>
      <c r="BL74" s="250">
        <f t="shared" si="84"/>
        <v>0</v>
      </c>
      <c r="BM74" s="250">
        <f t="shared" si="84"/>
        <v>0</v>
      </c>
      <c r="BN74" s="250">
        <f t="shared" si="84"/>
        <v>0</v>
      </c>
      <c r="BO74" s="250">
        <f t="shared" si="84"/>
        <v>0</v>
      </c>
      <c r="BP74" s="250">
        <f t="shared" si="84"/>
        <v>0</v>
      </c>
      <c r="BQ74" s="250">
        <f t="shared" si="84"/>
        <v>0</v>
      </c>
      <c r="BR74" s="250">
        <f t="shared" si="84"/>
        <v>2.7749999999999999</v>
      </c>
      <c r="BS74" s="250">
        <f t="shared" si="84"/>
        <v>0</v>
      </c>
      <c r="BT74" s="250">
        <f t="shared" si="84"/>
        <v>0</v>
      </c>
      <c r="BU74" s="250">
        <f t="shared" si="84"/>
        <v>0</v>
      </c>
      <c r="BV74" s="250">
        <f t="shared" si="84"/>
        <v>0</v>
      </c>
      <c r="BW74" s="248">
        <f t="shared" si="13"/>
        <v>0</v>
      </c>
      <c r="BX74" s="248">
        <f t="shared" si="14"/>
        <v>0</v>
      </c>
      <c r="BY74" s="248">
        <f t="shared" si="15"/>
        <v>3.640000000000001</v>
      </c>
      <c r="BZ74" s="248">
        <f t="shared" si="16"/>
        <v>0</v>
      </c>
      <c r="CA74" s="248">
        <f t="shared" si="17"/>
        <v>0</v>
      </c>
      <c r="CB74" s="248">
        <f t="shared" si="18"/>
        <v>0</v>
      </c>
      <c r="CC74" s="248">
        <f t="shared" si="19"/>
        <v>0</v>
      </c>
      <c r="CD74" s="518">
        <f>'10'!T54</f>
        <v>0</v>
      </c>
    </row>
    <row r="75" spans="1:82" s="65" customFormat="1" ht="126">
      <c r="A75" s="239" t="s">
        <v>840</v>
      </c>
      <c r="B75" s="238" t="s">
        <v>912</v>
      </c>
      <c r="C75" s="202" t="s">
        <v>876</v>
      </c>
      <c r="D75" s="163" t="s">
        <v>876</v>
      </c>
      <c r="E75" s="251">
        <v>0</v>
      </c>
      <c r="F75" s="251">
        <v>0</v>
      </c>
      <c r="G75" s="251">
        <v>0</v>
      </c>
      <c r="H75" s="251">
        <v>0</v>
      </c>
      <c r="I75" s="251">
        <v>0</v>
      </c>
      <c r="J75" s="251">
        <v>0</v>
      </c>
      <c r="K75" s="251">
        <v>0</v>
      </c>
      <c r="L75" s="250">
        <f t="shared" ref="L75:AM75" si="85">L76+L79</f>
        <v>0</v>
      </c>
      <c r="M75" s="250">
        <f t="shared" si="85"/>
        <v>0</v>
      </c>
      <c r="N75" s="250">
        <f t="shared" si="85"/>
        <v>0</v>
      </c>
      <c r="O75" s="250">
        <f t="shared" si="85"/>
        <v>0</v>
      </c>
      <c r="P75" s="250">
        <f t="shared" si="85"/>
        <v>0</v>
      </c>
      <c r="Q75" s="250">
        <f t="shared" si="85"/>
        <v>0</v>
      </c>
      <c r="R75" s="250">
        <f t="shared" si="85"/>
        <v>0</v>
      </c>
      <c r="S75" s="250">
        <f t="shared" si="85"/>
        <v>0</v>
      </c>
      <c r="T75" s="250">
        <f t="shared" si="85"/>
        <v>0</v>
      </c>
      <c r="U75" s="250">
        <f t="shared" si="85"/>
        <v>0</v>
      </c>
      <c r="V75" s="250">
        <f t="shared" si="85"/>
        <v>0</v>
      </c>
      <c r="W75" s="250">
        <f t="shared" si="85"/>
        <v>0</v>
      </c>
      <c r="X75" s="250">
        <f t="shared" si="85"/>
        <v>0</v>
      </c>
      <c r="Y75" s="250">
        <f t="shared" si="85"/>
        <v>0</v>
      </c>
      <c r="Z75" s="250">
        <f t="shared" si="85"/>
        <v>0</v>
      </c>
      <c r="AA75" s="250">
        <f t="shared" si="85"/>
        <v>0</v>
      </c>
      <c r="AB75" s="250">
        <f t="shared" si="85"/>
        <v>0</v>
      </c>
      <c r="AC75" s="250">
        <f t="shared" si="85"/>
        <v>0</v>
      </c>
      <c r="AD75" s="250">
        <f t="shared" si="85"/>
        <v>0</v>
      </c>
      <c r="AE75" s="250">
        <f t="shared" si="85"/>
        <v>0</v>
      </c>
      <c r="AF75" s="250">
        <f t="shared" si="85"/>
        <v>0</v>
      </c>
      <c r="AG75" s="250">
        <f t="shared" si="85"/>
        <v>0</v>
      </c>
      <c r="AH75" s="250">
        <f t="shared" si="85"/>
        <v>0</v>
      </c>
      <c r="AI75" s="250">
        <f t="shared" si="85"/>
        <v>0</v>
      </c>
      <c r="AJ75" s="250">
        <f t="shared" si="85"/>
        <v>0</v>
      </c>
      <c r="AK75" s="250">
        <f t="shared" si="85"/>
        <v>0</v>
      </c>
      <c r="AL75" s="250">
        <f t="shared" si="85"/>
        <v>0</v>
      </c>
      <c r="AM75" s="250">
        <f t="shared" si="85"/>
        <v>0</v>
      </c>
      <c r="AN75" s="248">
        <f t="shared" si="5"/>
        <v>0</v>
      </c>
      <c r="AO75" s="248">
        <f t="shared" si="6"/>
        <v>0</v>
      </c>
      <c r="AP75" s="248">
        <f t="shared" si="7"/>
        <v>0</v>
      </c>
      <c r="AQ75" s="248">
        <f t="shared" si="8"/>
        <v>0</v>
      </c>
      <c r="AR75" s="248">
        <f t="shared" si="9"/>
        <v>0</v>
      </c>
      <c r="AS75" s="248">
        <f t="shared" si="10"/>
        <v>0</v>
      </c>
      <c r="AT75" s="248">
        <f t="shared" si="11"/>
        <v>0</v>
      </c>
      <c r="AU75" s="250">
        <f t="shared" ref="AU75:BV75" si="86">AU76+AU79</f>
        <v>0</v>
      </c>
      <c r="AV75" s="250">
        <f t="shared" si="86"/>
        <v>0</v>
      </c>
      <c r="AW75" s="250">
        <f t="shared" si="86"/>
        <v>0</v>
      </c>
      <c r="AX75" s="250">
        <f t="shared" si="86"/>
        <v>0</v>
      </c>
      <c r="AY75" s="250">
        <f t="shared" si="86"/>
        <v>0</v>
      </c>
      <c r="AZ75" s="250">
        <f t="shared" si="86"/>
        <v>0</v>
      </c>
      <c r="BA75" s="250">
        <f t="shared" si="86"/>
        <v>0</v>
      </c>
      <c r="BB75" s="250">
        <f t="shared" si="86"/>
        <v>0</v>
      </c>
      <c r="BC75" s="250">
        <f t="shared" si="86"/>
        <v>0</v>
      </c>
      <c r="BD75" s="250">
        <f t="shared" si="86"/>
        <v>0</v>
      </c>
      <c r="BE75" s="250">
        <f t="shared" si="86"/>
        <v>0</v>
      </c>
      <c r="BF75" s="250">
        <f t="shared" si="86"/>
        <v>0</v>
      </c>
      <c r="BG75" s="250">
        <f t="shared" si="86"/>
        <v>0</v>
      </c>
      <c r="BH75" s="250">
        <f t="shared" si="86"/>
        <v>0</v>
      </c>
      <c r="BI75" s="250">
        <f t="shared" si="86"/>
        <v>0</v>
      </c>
      <c r="BJ75" s="250">
        <f t="shared" si="86"/>
        <v>0</v>
      </c>
      <c r="BK75" s="250">
        <f t="shared" si="86"/>
        <v>0</v>
      </c>
      <c r="BL75" s="250">
        <f t="shared" si="86"/>
        <v>0</v>
      </c>
      <c r="BM75" s="250">
        <f t="shared" si="86"/>
        <v>0</v>
      </c>
      <c r="BN75" s="250">
        <f t="shared" si="86"/>
        <v>0</v>
      </c>
      <c r="BO75" s="250">
        <f t="shared" si="86"/>
        <v>0</v>
      </c>
      <c r="BP75" s="250">
        <f t="shared" si="86"/>
        <v>0</v>
      </c>
      <c r="BQ75" s="250">
        <f t="shared" si="86"/>
        <v>0</v>
      </c>
      <c r="BR75" s="250">
        <f t="shared" si="86"/>
        <v>0</v>
      </c>
      <c r="BS75" s="250">
        <f t="shared" si="86"/>
        <v>0</v>
      </c>
      <c r="BT75" s="250">
        <f t="shared" si="86"/>
        <v>0</v>
      </c>
      <c r="BU75" s="250">
        <f t="shared" si="86"/>
        <v>0</v>
      </c>
      <c r="BV75" s="250">
        <f t="shared" si="86"/>
        <v>0</v>
      </c>
      <c r="BW75" s="248">
        <f t="shared" si="13"/>
        <v>0</v>
      </c>
      <c r="BX75" s="248">
        <f t="shared" si="14"/>
        <v>0</v>
      </c>
      <c r="BY75" s="248">
        <f t="shared" si="15"/>
        <v>0</v>
      </c>
      <c r="BZ75" s="248">
        <f t="shared" si="16"/>
        <v>0</v>
      </c>
      <c r="CA75" s="248">
        <f t="shared" si="17"/>
        <v>0</v>
      </c>
      <c r="CB75" s="248">
        <f t="shared" si="18"/>
        <v>0</v>
      </c>
      <c r="CC75" s="248">
        <f t="shared" si="19"/>
        <v>0</v>
      </c>
      <c r="CD75" s="518">
        <f>'10'!T55</f>
        <v>0</v>
      </c>
    </row>
    <row r="76" spans="1:82" s="65" customFormat="1" ht="63">
      <c r="A76" s="239" t="s">
        <v>421</v>
      </c>
      <c r="B76" s="238" t="s">
        <v>913</v>
      </c>
      <c r="C76" s="198" t="s">
        <v>876</v>
      </c>
      <c r="D76" s="163" t="s">
        <v>876</v>
      </c>
      <c r="E76" s="249">
        <v>0</v>
      </c>
      <c r="F76" s="249">
        <v>0</v>
      </c>
      <c r="G76" s="249">
        <v>0</v>
      </c>
      <c r="H76" s="249">
        <v>0</v>
      </c>
      <c r="I76" s="249">
        <v>0</v>
      </c>
      <c r="J76" s="249">
        <v>0</v>
      </c>
      <c r="K76" s="249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0</v>
      </c>
      <c r="Q76" s="250">
        <v>0</v>
      </c>
      <c r="R76" s="250">
        <v>0</v>
      </c>
      <c r="S76" s="250">
        <v>0</v>
      </c>
      <c r="T76" s="250">
        <v>0</v>
      </c>
      <c r="U76" s="250">
        <v>0</v>
      </c>
      <c r="V76" s="250">
        <v>0</v>
      </c>
      <c r="W76" s="250">
        <v>0</v>
      </c>
      <c r="X76" s="250">
        <v>0</v>
      </c>
      <c r="Y76" s="250">
        <v>0</v>
      </c>
      <c r="Z76" s="250">
        <v>0</v>
      </c>
      <c r="AA76" s="250">
        <v>0</v>
      </c>
      <c r="AB76" s="250">
        <v>0</v>
      </c>
      <c r="AC76" s="250">
        <v>0</v>
      </c>
      <c r="AD76" s="250">
        <v>0</v>
      </c>
      <c r="AE76" s="250">
        <v>0</v>
      </c>
      <c r="AF76" s="250">
        <v>0</v>
      </c>
      <c r="AG76" s="250">
        <v>0</v>
      </c>
      <c r="AH76" s="250">
        <v>0</v>
      </c>
      <c r="AI76" s="250">
        <v>0</v>
      </c>
      <c r="AJ76" s="250">
        <v>0</v>
      </c>
      <c r="AK76" s="250">
        <v>0</v>
      </c>
      <c r="AL76" s="250">
        <v>0</v>
      </c>
      <c r="AM76" s="250">
        <v>0</v>
      </c>
      <c r="AN76" s="248">
        <f t="shared" si="5"/>
        <v>0</v>
      </c>
      <c r="AO76" s="248">
        <f t="shared" si="6"/>
        <v>0</v>
      </c>
      <c r="AP76" s="248">
        <f t="shared" si="7"/>
        <v>0</v>
      </c>
      <c r="AQ76" s="248">
        <f t="shared" si="8"/>
        <v>0</v>
      </c>
      <c r="AR76" s="248">
        <f t="shared" si="9"/>
        <v>0</v>
      </c>
      <c r="AS76" s="248">
        <f t="shared" si="10"/>
        <v>0</v>
      </c>
      <c r="AT76" s="248">
        <f t="shared" si="11"/>
        <v>0</v>
      </c>
      <c r="AU76" s="250">
        <v>0</v>
      </c>
      <c r="AV76" s="250">
        <v>0</v>
      </c>
      <c r="AW76" s="250">
        <v>0</v>
      </c>
      <c r="AX76" s="250">
        <v>0</v>
      </c>
      <c r="AY76" s="250">
        <v>0</v>
      </c>
      <c r="AZ76" s="250">
        <v>0</v>
      </c>
      <c r="BA76" s="250">
        <v>0</v>
      </c>
      <c r="BB76" s="250">
        <v>0</v>
      </c>
      <c r="BC76" s="250">
        <v>0</v>
      </c>
      <c r="BD76" s="250">
        <v>0</v>
      </c>
      <c r="BE76" s="250">
        <v>0</v>
      </c>
      <c r="BF76" s="250">
        <v>0</v>
      </c>
      <c r="BG76" s="250">
        <v>0</v>
      </c>
      <c r="BH76" s="250">
        <v>0</v>
      </c>
      <c r="BI76" s="250">
        <v>0</v>
      </c>
      <c r="BJ76" s="250">
        <v>0</v>
      </c>
      <c r="BK76" s="250">
        <v>0</v>
      </c>
      <c r="BL76" s="250">
        <v>0</v>
      </c>
      <c r="BM76" s="250">
        <v>0</v>
      </c>
      <c r="BN76" s="250">
        <v>0</v>
      </c>
      <c r="BO76" s="250">
        <v>0</v>
      </c>
      <c r="BP76" s="250">
        <v>0</v>
      </c>
      <c r="BQ76" s="250">
        <v>0</v>
      </c>
      <c r="BR76" s="250">
        <v>0</v>
      </c>
      <c r="BS76" s="250">
        <v>0</v>
      </c>
      <c r="BT76" s="250">
        <v>0</v>
      </c>
      <c r="BU76" s="250">
        <v>0</v>
      </c>
      <c r="BV76" s="250">
        <v>0</v>
      </c>
      <c r="BW76" s="248">
        <f t="shared" si="13"/>
        <v>0</v>
      </c>
      <c r="BX76" s="248">
        <f t="shared" si="14"/>
        <v>0</v>
      </c>
      <c r="BY76" s="248">
        <f t="shared" si="15"/>
        <v>0</v>
      </c>
      <c r="BZ76" s="248">
        <f t="shared" si="16"/>
        <v>0</v>
      </c>
      <c r="CA76" s="248">
        <f t="shared" si="17"/>
        <v>0</v>
      </c>
      <c r="CB76" s="248">
        <f t="shared" si="18"/>
        <v>0</v>
      </c>
      <c r="CC76" s="248">
        <f t="shared" si="19"/>
        <v>0</v>
      </c>
      <c r="CD76" s="518">
        <f>'10'!T56</f>
        <v>0</v>
      </c>
    </row>
    <row r="77" spans="1:82" s="65" customFormat="1" ht="47.25">
      <c r="A77" s="242" t="s">
        <v>423</v>
      </c>
      <c r="B77" s="243" t="s">
        <v>1070</v>
      </c>
      <c r="C77" s="207" t="s">
        <v>1086</v>
      </c>
      <c r="D77" s="163" t="s">
        <v>876</v>
      </c>
      <c r="E77" s="249">
        <v>0</v>
      </c>
      <c r="F77" s="249">
        <v>0</v>
      </c>
      <c r="G77" s="249">
        <v>0</v>
      </c>
      <c r="H77" s="249">
        <v>0</v>
      </c>
      <c r="I77" s="249">
        <v>0</v>
      </c>
      <c r="J77" s="249">
        <v>0</v>
      </c>
      <c r="K77" s="249">
        <v>0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250">
        <v>0</v>
      </c>
      <c r="R77" s="250">
        <v>0</v>
      </c>
      <c r="S77" s="250">
        <v>0</v>
      </c>
      <c r="T77" s="250">
        <v>0</v>
      </c>
      <c r="U77" s="250">
        <v>0</v>
      </c>
      <c r="V77" s="250">
        <v>0</v>
      </c>
      <c r="W77" s="250">
        <v>0</v>
      </c>
      <c r="X77" s="250">
        <v>0</v>
      </c>
      <c r="Y77" s="250">
        <v>0</v>
      </c>
      <c r="Z77" s="250">
        <v>0</v>
      </c>
      <c r="AA77" s="250">
        <v>0</v>
      </c>
      <c r="AB77" s="250">
        <v>0</v>
      </c>
      <c r="AC77" s="250">
        <v>0</v>
      </c>
      <c r="AD77" s="250">
        <v>0</v>
      </c>
      <c r="AE77" s="250">
        <v>0</v>
      </c>
      <c r="AF77" s="250">
        <v>0</v>
      </c>
      <c r="AG77" s="250">
        <v>0</v>
      </c>
      <c r="AH77" s="250">
        <v>0</v>
      </c>
      <c r="AI77" s="250">
        <v>0</v>
      </c>
      <c r="AJ77" s="250">
        <v>0</v>
      </c>
      <c r="AK77" s="250">
        <v>0</v>
      </c>
      <c r="AL77" s="250">
        <v>0</v>
      </c>
      <c r="AM77" s="250">
        <v>0</v>
      </c>
      <c r="AN77" s="248">
        <v>0</v>
      </c>
      <c r="AO77" s="248">
        <v>0</v>
      </c>
      <c r="AP77" s="248">
        <v>0</v>
      </c>
      <c r="AQ77" s="248">
        <v>0</v>
      </c>
      <c r="AR77" s="248">
        <v>0</v>
      </c>
      <c r="AS77" s="248">
        <v>0</v>
      </c>
      <c r="AT77" s="248">
        <v>0</v>
      </c>
      <c r="AU77" s="250">
        <v>0</v>
      </c>
      <c r="AV77" s="250">
        <v>0</v>
      </c>
      <c r="AW77" s="250">
        <v>0</v>
      </c>
      <c r="AX77" s="250">
        <v>0</v>
      </c>
      <c r="AY77" s="250">
        <v>0</v>
      </c>
      <c r="AZ77" s="250">
        <v>0</v>
      </c>
      <c r="BA77" s="250">
        <v>0</v>
      </c>
      <c r="BB77" s="250">
        <v>0</v>
      </c>
      <c r="BC77" s="250">
        <v>0</v>
      </c>
      <c r="BD77" s="250">
        <v>0</v>
      </c>
      <c r="BE77" s="250">
        <v>0</v>
      </c>
      <c r="BF77" s="250">
        <v>0</v>
      </c>
      <c r="BG77" s="250">
        <v>0</v>
      </c>
      <c r="BH77" s="250">
        <v>0</v>
      </c>
      <c r="BI77" s="250">
        <v>0</v>
      </c>
      <c r="BJ77" s="250">
        <v>0</v>
      </c>
      <c r="BK77" s="250">
        <v>0</v>
      </c>
      <c r="BL77" s="250">
        <v>0</v>
      </c>
      <c r="BM77" s="250">
        <v>0</v>
      </c>
      <c r="BN77" s="250">
        <v>0</v>
      </c>
      <c r="BO77" s="250">
        <v>0</v>
      </c>
      <c r="BP77" s="250">
        <v>0</v>
      </c>
      <c r="BQ77" s="250">
        <v>0</v>
      </c>
      <c r="BR77" s="250">
        <v>0</v>
      </c>
      <c r="BS77" s="250">
        <v>0</v>
      </c>
      <c r="BT77" s="250">
        <v>0</v>
      </c>
      <c r="BU77" s="250">
        <v>0</v>
      </c>
      <c r="BV77" s="250">
        <v>0</v>
      </c>
      <c r="BW77" s="248">
        <v>0</v>
      </c>
      <c r="BX77" s="248">
        <v>0</v>
      </c>
      <c r="BY77" s="248">
        <v>0</v>
      </c>
      <c r="BZ77" s="248">
        <v>0</v>
      </c>
      <c r="CA77" s="248">
        <v>0</v>
      </c>
      <c r="CB77" s="248">
        <v>0</v>
      </c>
      <c r="CC77" s="248">
        <v>0</v>
      </c>
      <c r="CD77" s="518" t="str">
        <f>'10'!T57</f>
        <v>Финансирование освоенного инвестиционного проекта 2017 года</v>
      </c>
    </row>
    <row r="78" spans="1:82" s="65" customFormat="1" ht="47.25">
      <c r="A78" s="242" t="s">
        <v>424</v>
      </c>
      <c r="B78" s="243" t="s">
        <v>1071</v>
      </c>
      <c r="C78" s="207" t="s">
        <v>1090</v>
      </c>
      <c r="D78" s="163" t="s">
        <v>876</v>
      </c>
      <c r="E78" s="249">
        <v>0</v>
      </c>
      <c r="F78" s="249">
        <v>0</v>
      </c>
      <c r="G78" s="249">
        <v>0</v>
      </c>
      <c r="H78" s="249">
        <v>0</v>
      </c>
      <c r="I78" s="249">
        <v>0</v>
      </c>
      <c r="J78" s="249">
        <v>0</v>
      </c>
      <c r="K78" s="249">
        <v>0</v>
      </c>
      <c r="L78" s="250">
        <v>0</v>
      </c>
      <c r="M78" s="250">
        <v>0</v>
      </c>
      <c r="N78" s="250">
        <v>0</v>
      </c>
      <c r="O78" s="250">
        <v>0</v>
      </c>
      <c r="P78" s="250">
        <v>0</v>
      </c>
      <c r="Q78" s="250">
        <v>0</v>
      </c>
      <c r="R78" s="250">
        <v>0</v>
      </c>
      <c r="S78" s="250">
        <v>0</v>
      </c>
      <c r="T78" s="250">
        <v>0</v>
      </c>
      <c r="U78" s="250">
        <v>0</v>
      </c>
      <c r="V78" s="250">
        <v>0</v>
      </c>
      <c r="W78" s="250">
        <v>0</v>
      </c>
      <c r="X78" s="250">
        <v>0</v>
      </c>
      <c r="Y78" s="250">
        <v>0</v>
      </c>
      <c r="Z78" s="250">
        <v>0</v>
      </c>
      <c r="AA78" s="250">
        <v>0</v>
      </c>
      <c r="AB78" s="250">
        <v>0</v>
      </c>
      <c r="AC78" s="250">
        <v>0</v>
      </c>
      <c r="AD78" s="250">
        <v>0</v>
      </c>
      <c r="AE78" s="250">
        <v>0</v>
      </c>
      <c r="AF78" s="250">
        <v>0</v>
      </c>
      <c r="AG78" s="250">
        <v>0</v>
      </c>
      <c r="AH78" s="250">
        <v>0</v>
      </c>
      <c r="AI78" s="250">
        <v>0</v>
      </c>
      <c r="AJ78" s="250">
        <v>0</v>
      </c>
      <c r="AK78" s="250">
        <v>0</v>
      </c>
      <c r="AL78" s="250">
        <v>0</v>
      </c>
      <c r="AM78" s="250">
        <v>0</v>
      </c>
      <c r="AN78" s="248">
        <v>0</v>
      </c>
      <c r="AO78" s="248">
        <v>0</v>
      </c>
      <c r="AP78" s="248">
        <v>0</v>
      </c>
      <c r="AQ78" s="248">
        <v>0</v>
      </c>
      <c r="AR78" s="248">
        <v>0</v>
      </c>
      <c r="AS78" s="248">
        <v>0</v>
      </c>
      <c r="AT78" s="248">
        <v>0</v>
      </c>
      <c r="AU78" s="250">
        <v>0</v>
      </c>
      <c r="AV78" s="250">
        <v>0</v>
      </c>
      <c r="AW78" s="250">
        <v>0</v>
      </c>
      <c r="AX78" s="250">
        <v>0</v>
      </c>
      <c r="AY78" s="250">
        <v>0</v>
      </c>
      <c r="AZ78" s="250">
        <v>0</v>
      </c>
      <c r="BA78" s="250">
        <v>0</v>
      </c>
      <c r="BB78" s="250">
        <v>0</v>
      </c>
      <c r="BC78" s="250">
        <v>0</v>
      </c>
      <c r="BD78" s="250">
        <v>0</v>
      </c>
      <c r="BE78" s="250">
        <v>0</v>
      </c>
      <c r="BF78" s="250">
        <v>0</v>
      </c>
      <c r="BG78" s="250">
        <v>0</v>
      </c>
      <c r="BH78" s="250">
        <v>0</v>
      </c>
      <c r="BI78" s="250">
        <v>0</v>
      </c>
      <c r="BJ78" s="250">
        <v>0</v>
      </c>
      <c r="BK78" s="250">
        <v>0</v>
      </c>
      <c r="BL78" s="250">
        <v>0</v>
      </c>
      <c r="BM78" s="250">
        <v>0</v>
      </c>
      <c r="BN78" s="250">
        <v>0</v>
      </c>
      <c r="BO78" s="250">
        <v>0</v>
      </c>
      <c r="BP78" s="250">
        <v>0</v>
      </c>
      <c r="BQ78" s="250">
        <v>0</v>
      </c>
      <c r="BR78" s="250">
        <v>0</v>
      </c>
      <c r="BS78" s="250">
        <v>0</v>
      </c>
      <c r="BT78" s="250">
        <v>0</v>
      </c>
      <c r="BU78" s="250">
        <v>0</v>
      </c>
      <c r="BV78" s="250">
        <v>0</v>
      </c>
      <c r="BW78" s="248">
        <v>0</v>
      </c>
      <c r="BX78" s="248">
        <v>0</v>
      </c>
      <c r="BY78" s="248">
        <v>0</v>
      </c>
      <c r="BZ78" s="248">
        <v>0</v>
      </c>
      <c r="CA78" s="248">
        <v>0</v>
      </c>
      <c r="CB78" s="248">
        <v>0</v>
      </c>
      <c r="CC78" s="248">
        <v>0</v>
      </c>
      <c r="CD78" s="518" t="str">
        <f>'10'!T58</f>
        <v>Финансирование освоенного инвестиционного проекта 2017 года</v>
      </c>
    </row>
    <row r="79" spans="1:82" s="65" customFormat="1" ht="126">
      <c r="A79" s="239" t="s">
        <v>426</v>
      </c>
      <c r="B79" s="238" t="s">
        <v>914</v>
      </c>
      <c r="C79" s="202" t="s">
        <v>876</v>
      </c>
      <c r="D79" s="163" t="s">
        <v>876</v>
      </c>
      <c r="E79" s="252">
        <v>0</v>
      </c>
      <c r="F79" s="252">
        <v>0</v>
      </c>
      <c r="G79" s="252">
        <v>0</v>
      </c>
      <c r="H79" s="252">
        <v>0</v>
      </c>
      <c r="I79" s="252">
        <v>0</v>
      </c>
      <c r="J79" s="252">
        <v>0</v>
      </c>
      <c r="K79" s="252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250">
        <v>0</v>
      </c>
      <c r="R79" s="250">
        <v>0</v>
      </c>
      <c r="S79" s="250">
        <v>0</v>
      </c>
      <c r="T79" s="250">
        <v>0</v>
      </c>
      <c r="U79" s="250">
        <v>0</v>
      </c>
      <c r="V79" s="250">
        <v>0</v>
      </c>
      <c r="W79" s="250">
        <v>0</v>
      </c>
      <c r="X79" s="250">
        <v>0</v>
      </c>
      <c r="Y79" s="250">
        <v>0</v>
      </c>
      <c r="Z79" s="250">
        <v>0</v>
      </c>
      <c r="AA79" s="250">
        <v>0</v>
      </c>
      <c r="AB79" s="250">
        <v>0</v>
      </c>
      <c r="AC79" s="250">
        <v>0</v>
      </c>
      <c r="AD79" s="250">
        <v>0</v>
      </c>
      <c r="AE79" s="250">
        <v>0</v>
      </c>
      <c r="AF79" s="250">
        <v>0</v>
      </c>
      <c r="AG79" s="250">
        <v>0</v>
      </c>
      <c r="AH79" s="250">
        <v>0</v>
      </c>
      <c r="AI79" s="250">
        <v>0</v>
      </c>
      <c r="AJ79" s="250">
        <v>0</v>
      </c>
      <c r="AK79" s="250">
        <v>0</v>
      </c>
      <c r="AL79" s="250">
        <v>0</v>
      </c>
      <c r="AM79" s="250">
        <v>0</v>
      </c>
      <c r="AN79" s="248">
        <f t="shared" si="5"/>
        <v>0</v>
      </c>
      <c r="AO79" s="248">
        <f t="shared" si="6"/>
        <v>0</v>
      </c>
      <c r="AP79" s="248">
        <f t="shared" si="7"/>
        <v>0</v>
      </c>
      <c r="AQ79" s="248">
        <f t="shared" si="8"/>
        <v>0</v>
      </c>
      <c r="AR79" s="248">
        <f t="shared" si="9"/>
        <v>0</v>
      </c>
      <c r="AS79" s="248">
        <f t="shared" si="10"/>
        <v>0</v>
      </c>
      <c r="AT79" s="248">
        <f t="shared" si="11"/>
        <v>0</v>
      </c>
      <c r="AU79" s="250">
        <v>0</v>
      </c>
      <c r="AV79" s="250">
        <v>0</v>
      </c>
      <c r="AW79" s="250">
        <v>0</v>
      </c>
      <c r="AX79" s="250">
        <v>0</v>
      </c>
      <c r="AY79" s="250">
        <v>0</v>
      </c>
      <c r="AZ79" s="250">
        <v>0</v>
      </c>
      <c r="BA79" s="250">
        <v>0</v>
      </c>
      <c r="BB79" s="250">
        <v>0</v>
      </c>
      <c r="BC79" s="250">
        <v>0</v>
      </c>
      <c r="BD79" s="250">
        <v>0</v>
      </c>
      <c r="BE79" s="250">
        <v>0</v>
      </c>
      <c r="BF79" s="250">
        <v>0</v>
      </c>
      <c r="BG79" s="250">
        <v>0</v>
      </c>
      <c r="BH79" s="250">
        <v>0</v>
      </c>
      <c r="BI79" s="250">
        <v>0</v>
      </c>
      <c r="BJ79" s="250">
        <v>0</v>
      </c>
      <c r="BK79" s="250">
        <v>0</v>
      </c>
      <c r="BL79" s="250">
        <v>0</v>
      </c>
      <c r="BM79" s="250">
        <v>0</v>
      </c>
      <c r="BN79" s="250">
        <v>0</v>
      </c>
      <c r="BO79" s="250">
        <v>0</v>
      </c>
      <c r="BP79" s="250">
        <v>0</v>
      </c>
      <c r="BQ79" s="250">
        <v>0</v>
      </c>
      <c r="BR79" s="250">
        <v>0</v>
      </c>
      <c r="BS79" s="250">
        <v>0</v>
      </c>
      <c r="BT79" s="250">
        <v>0</v>
      </c>
      <c r="BU79" s="250">
        <v>0</v>
      </c>
      <c r="BV79" s="250">
        <v>0</v>
      </c>
      <c r="BW79" s="248">
        <f t="shared" si="13"/>
        <v>0</v>
      </c>
      <c r="BX79" s="248">
        <f t="shared" si="14"/>
        <v>0</v>
      </c>
      <c r="BY79" s="248">
        <f t="shared" si="15"/>
        <v>0</v>
      </c>
      <c r="BZ79" s="248">
        <f t="shared" si="16"/>
        <v>0</v>
      </c>
      <c r="CA79" s="248">
        <f t="shared" si="17"/>
        <v>0</v>
      </c>
      <c r="CB79" s="248">
        <f t="shared" si="18"/>
        <v>0</v>
      </c>
      <c r="CC79" s="248">
        <f t="shared" si="19"/>
        <v>0</v>
      </c>
      <c r="CD79" s="518" t="e">
        <f>'10'!#REF!</f>
        <v>#REF!</v>
      </c>
    </row>
    <row r="80" spans="1:82" s="65" customFormat="1" ht="78.75">
      <c r="A80" s="239" t="s">
        <v>841</v>
      </c>
      <c r="B80" s="238" t="s">
        <v>915</v>
      </c>
      <c r="C80" s="202" t="s">
        <v>876</v>
      </c>
      <c r="D80" s="163" t="s">
        <v>876</v>
      </c>
      <c r="E80" s="251">
        <v>0</v>
      </c>
      <c r="F80" s="251">
        <v>0</v>
      </c>
      <c r="G80" s="251">
        <f>G81</f>
        <v>2.7749999999999999</v>
      </c>
      <c r="H80" s="251">
        <v>0</v>
      </c>
      <c r="I80" s="251">
        <v>0</v>
      </c>
      <c r="J80" s="251">
        <v>0</v>
      </c>
      <c r="K80" s="251">
        <v>0</v>
      </c>
      <c r="L80" s="250">
        <f t="shared" ref="L80:AM80" si="87">L81+L87</f>
        <v>0</v>
      </c>
      <c r="M80" s="250">
        <f t="shared" si="87"/>
        <v>0</v>
      </c>
      <c r="N80" s="250">
        <f t="shared" si="87"/>
        <v>0</v>
      </c>
      <c r="O80" s="250">
        <f t="shared" si="87"/>
        <v>0</v>
      </c>
      <c r="P80" s="250">
        <f t="shared" si="87"/>
        <v>0</v>
      </c>
      <c r="Q80" s="250">
        <f t="shared" si="87"/>
        <v>0</v>
      </c>
      <c r="R80" s="250">
        <f t="shared" si="87"/>
        <v>0</v>
      </c>
      <c r="S80" s="250">
        <f t="shared" si="87"/>
        <v>0</v>
      </c>
      <c r="T80" s="250">
        <f t="shared" si="87"/>
        <v>0</v>
      </c>
      <c r="U80" s="250">
        <f t="shared" si="87"/>
        <v>0</v>
      </c>
      <c r="V80" s="250">
        <f t="shared" si="87"/>
        <v>0</v>
      </c>
      <c r="W80" s="250">
        <f t="shared" si="87"/>
        <v>0</v>
      </c>
      <c r="X80" s="250">
        <f t="shared" si="87"/>
        <v>0</v>
      </c>
      <c r="Y80" s="250">
        <f t="shared" si="87"/>
        <v>0</v>
      </c>
      <c r="Z80" s="250">
        <f t="shared" si="87"/>
        <v>0</v>
      </c>
      <c r="AA80" s="250">
        <f t="shared" si="87"/>
        <v>0</v>
      </c>
      <c r="AB80" s="250">
        <f t="shared" si="87"/>
        <v>0</v>
      </c>
      <c r="AC80" s="250">
        <f t="shared" si="87"/>
        <v>0</v>
      </c>
      <c r="AD80" s="250">
        <f t="shared" si="87"/>
        <v>0</v>
      </c>
      <c r="AE80" s="250">
        <f t="shared" si="87"/>
        <v>0</v>
      </c>
      <c r="AF80" s="250">
        <f t="shared" si="87"/>
        <v>0</v>
      </c>
      <c r="AG80" s="250">
        <f t="shared" si="87"/>
        <v>0</v>
      </c>
      <c r="AH80" s="250">
        <f t="shared" si="87"/>
        <v>0</v>
      </c>
      <c r="AI80" s="250">
        <f t="shared" si="87"/>
        <v>0</v>
      </c>
      <c r="AJ80" s="250">
        <f t="shared" si="87"/>
        <v>0</v>
      </c>
      <c r="AK80" s="250">
        <f t="shared" si="87"/>
        <v>0</v>
      </c>
      <c r="AL80" s="250">
        <f t="shared" si="87"/>
        <v>0</v>
      </c>
      <c r="AM80" s="250">
        <f t="shared" si="87"/>
        <v>0</v>
      </c>
      <c r="AN80" s="248">
        <f t="shared" si="5"/>
        <v>0</v>
      </c>
      <c r="AO80" s="248">
        <f t="shared" si="6"/>
        <v>0</v>
      </c>
      <c r="AP80" s="248">
        <f t="shared" si="7"/>
        <v>2.7749999999999999</v>
      </c>
      <c r="AQ80" s="248">
        <f t="shared" si="8"/>
        <v>0</v>
      </c>
      <c r="AR80" s="248">
        <f t="shared" si="9"/>
        <v>0</v>
      </c>
      <c r="AS80" s="248">
        <f t="shared" si="10"/>
        <v>0</v>
      </c>
      <c r="AT80" s="248">
        <f t="shared" si="11"/>
        <v>0</v>
      </c>
      <c r="AU80" s="250">
        <f t="shared" ref="AU80:BV80" si="88">AU81+AU87</f>
        <v>0</v>
      </c>
      <c r="AV80" s="250">
        <f t="shared" si="88"/>
        <v>0</v>
      </c>
      <c r="AW80" s="250">
        <f t="shared" si="88"/>
        <v>0</v>
      </c>
      <c r="AX80" s="250">
        <f t="shared" si="88"/>
        <v>0</v>
      </c>
      <c r="AY80" s="250">
        <f t="shared" si="88"/>
        <v>0</v>
      </c>
      <c r="AZ80" s="250">
        <f t="shared" si="88"/>
        <v>0</v>
      </c>
      <c r="BA80" s="250">
        <f t="shared" si="88"/>
        <v>0</v>
      </c>
      <c r="BB80" s="250">
        <f t="shared" si="88"/>
        <v>0</v>
      </c>
      <c r="BC80" s="250">
        <f t="shared" si="88"/>
        <v>0</v>
      </c>
      <c r="BD80" s="250">
        <f t="shared" si="88"/>
        <v>0</v>
      </c>
      <c r="BE80" s="250">
        <f t="shared" si="88"/>
        <v>0</v>
      </c>
      <c r="BF80" s="250">
        <f t="shared" si="88"/>
        <v>0</v>
      </c>
      <c r="BG80" s="250">
        <f t="shared" si="88"/>
        <v>0</v>
      </c>
      <c r="BH80" s="250">
        <f t="shared" si="88"/>
        <v>0</v>
      </c>
      <c r="BI80" s="250">
        <f t="shared" si="88"/>
        <v>0</v>
      </c>
      <c r="BJ80" s="250">
        <f t="shared" si="88"/>
        <v>0</v>
      </c>
      <c r="BK80" s="250">
        <f t="shared" si="88"/>
        <v>0</v>
      </c>
      <c r="BL80" s="250">
        <f t="shared" si="88"/>
        <v>0</v>
      </c>
      <c r="BM80" s="250">
        <f t="shared" si="88"/>
        <v>0</v>
      </c>
      <c r="BN80" s="250">
        <f t="shared" si="88"/>
        <v>0</v>
      </c>
      <c r="BO80" s="250">
        <f t="shared" si="88"/>
        <v>0</v>
      </c>
      <c r="BP80" s="250">
        <f t="shared" si="88"/>
        <v>0</v>
      </c>
      <c r="BQ80" s="250">
        <f t="shared" si="88"/>
        <v>0</v>
      </c>
      <c r="BR80" s="250">
        <f t="shared" si="88"/>
        <v>2.7749999999999999</v>
      </c>
      <c r="BS80" s="250">
        <f t="shared" si="88"/>
        <v>0</v>
      </c>
      <c r="BT80" s="250">
        <f t="shared" si="88"/>
        <v>0</v>
      </c>
      <c r="BU80" s="250">
        <f t="shared" si="88"/>
        <v>0</v>
      </c>
      <c r="BV80" s="250">
        <f t="shared" si="88"/>
        <v>0</v>
      </c>
      <c r="BW80" s="248">
        <f t="shared" si="13"/>
        <v>0</v>
      </c>
      <c r="BX80" s="248">
        <f t="shared" si="14"/>
        <v>0</v>
      </c>
      <c r="BY80" s="248">
        <f t="shared" si="15"/>
        <v>0</v>
      </c>
      <c r="BZ80" s="248">
        <f t="shared" si="16"/>
        <v>0</v>
      </c>
      <c r="CA80" s="248">
        <f t="shared" si="17"/>
        <v>0</v>
      </c>
      <c r="CB80" s="248">
        <f t="shared" si="18"/>
        <v>0</v>
      </c>
      <c r="CC80" s="248">
        <f t="shared" si="19"/>
        <v>0</v>
      </c>
      <c r="CD80" s="518">
        <f>'10'!T59</f>
        <v>0</v>
      </c>
    </row>
    <row r="81" spans="1:82" s="65" customFormat="1" ht="47.25">
      <c r="A81" s="239" t="s">
        <v>916</v>
      </c>
      <c r="B81" s="238" t="s">
        <v>917</v>
      </c>
      <c r="C81" s="198" t="s">
        <v>876</v>
      </c>
      <c r="D81" s="163" t="s">
        <v>876</v>
      </c>
      <c r="E81" s="249">
        <v>0</v>
      </c>
      <c r="F81" s="249">
        <v>0</v>
      </c>
      <c r="G81" s="249">
        <f>SUM(G83:G86)</f>
        <v>2.7749999999999999</v>
      </c>
      <c r="H81" s="249">
        <v>0</v>
      </c>
      <c r="I81" s="249">
        <v>0</v>
      </c>
      <c r="J81" s="249">
        <v>0</v>
      </c>
      <c r="K81" s="249">
        <v>0</v>
      </c>
      <c r="L81" s="250">
        <f>L83+L84+L85</f>
        <v>0</v>
      </c>
      <c r="M81" s="250">
        <f t="shared" ref="M81:BX81" si="89">M83+M84+M85</f>
        <v>0</v>
      </c>
      <c r="N81" s="250">
        <f t="shared" si="89"/>
        <v>0</v>
      </c>
      <c r="O81" s="250">
        <f t="shared" si="89"/>
        <v>0</v>
      </c>
      <c r="P81" s="250">
        <f t="shared" si="89"/>
        <v>0</v>
      </c>
      <c r="Q81" s="250">
        <f t="shared" si="89"/>
        <v>0</v>
      </c>
      <c r="R81" s="250">
        <f t="shared" si="89"/>
        <v>0</v>
      </c>
      <c r="S81" s="250">
        <f t="shared" si="89"/>
        <v>0</v>
      </c>
      <c r="T81" s="250">
        <f t="shared" si="89"/>
        <v>0</v>
      </c>
      <c r="U81" s="250">
        <f t="shared" si="89"/>
        <v>0</v>
      </c>
      <c r="V81" s="250">
        <f t="shared" si="89"/>
        <v>0</v>
      </c>
      <c r="W81" s="250">
        <f t="shared" si="89"/>
        <v>0</v>
      </c>
      <c r="X81" s="250">
        <f t="shared" si="89"/>
        <v>0</v>
      </c>
      <c r="Y81" s="250">
        <f t="shared" si="89"/>
        <v>0</v>
      </c>
      <c r="Z81" s="250">
        <f t="shared" si="89"/>
        <v>0</v>
      </c>
      <c r="AA81" s="250">
        <f t="shared" si="89"/>
        <v>0</v>
      </c>
      <c r="AB81" s="250">
        <f t="shared" si="89"/>
        <v>0</v>
      </c>
      <c r="AC81" s="250">
        <f t="shared" si="89"/>
        <v>0</v>
      </c>
      <c r="AD81" s="250">
        <f t="shared" si="89"/>
        <v>0</v>
      </c>
      <c r="AE81" s="250">
        <f t="shared" si="89"/>
        <v>0</v>
      </c>
      <c r="AF81" s="250">
        <f t="shared" si="89"/>
        <v>0</v>
      </c>
      <c r="AG81" s="250">
        <f t="shared" si="89"/>
        <v>0</v>
      </c>
      <c r="AH81" s="250">
        <f t="shared" si="89"/>
        <v>0</v>
      </c>
      <c r="AI81" s="250">
        <f t="shared" si="89"/>
        <v>0</v>
      </c>
      <c r="AJ81" s="250">
        <f t="shared" si="89"/>
        <v>0</v>
      </c>
      <c r="AK81" s="250">
        <f t="shared" si="89"/>
        <v>0</v>
      </c>
      <c r="AL81" s="250">
        <f t="shared" si="89"/>
        <v>0</v>
      </c>
      <c r="AM81" s="250">
        <f t="shared" si="89"/>
        <v>0</v>
      </c>
      <c r="AN81" s="250">
        <f t="shared" si="89"/>
        <v>0</v>
      </c>
      <c r="AO81" s="250">
        <f t="shared" si="89"/>
        <v>0</v>
      </c>
      <c r="AP81" s="250">
        <f t="shared" si="89"/>
        <v>2.7749999999999999</v>
      </c>
      <c r="AQ81" s="250">
        <f t="shared" si="89"/>
        <v>0</v>
      </c>
      <c r="AR81" s="250">
        <f t="shared" si="89"/>
        <v>0</v>
      </c>
      <c r="AS81" s="250">
        <f t="shared" si="89"/>
        <v>0</v>
      </c>
      <c r="AT81" s="250">
        <f t="shared" si="89"/>
        <v>0</v>
      </c>
      <c r="AU81" s="250">
        <f t="shared" si="89"/>
        <v>0</v>
      </c>
      <c r="AV81" s="250">
        <f t="shared" si="89"/>
        <v>0</v>
      </c>
      <c r="AW81" s="250">
        <f>'14'!Q77</f>
        <v>0</v>
      </c>
      <c r="AX81" s="250">
        <f t="shared" si="89"/>
        <v>0</v>
      </c>
      <c r="AY81" s="250">
        <f t="shared" si="89"/>
        <v>0</v>
      </c>
      <c r="AZ81" s="250">
        <f t="shared" si="89"/>
        <v>0</v>
      </c>
      <c r="BA81" s="250">
        <f t="shared" si="89"/>
        <v>0</v>
      </c>
      <c r="BB81" s="250">
        <f t="shared" si="89"/>
        <v>0</v>
      </c>
      <c r="BC81" s="250">
        <f t="shared" si="89"/>
        <v>0</v>
      </c>
      <c r="BD81" s="250">
        <f t="shared" si="89"/>
        <v>0</v>
      </c>
      <c r="BE81" s="250">
        <f t="shared" si="89"/>
        <v>0</v>
      </c>
      <c r="BF81" s="250">
        <f t="shared" si="89"/>
        <v>0</v>
      </c>
      <c r="BG81" s="250">
        <f t="shared" si="89"/>
        <v>0</v>
      </c>
      <c r="BH81" s="250">
        <f t="shared" si="89"/>
        <v>0</v>
      </c>
      <c r="BI81" s="250">
        <f t="shared" si="89"/>
        <v>0</v>
      </c>
      <c r="BJ81" s="250">
        <f t="shared" si="89"/>
        <v>0</v>
      </c>
      <c r="BK81" s="250">
        <f t="shared" si="89"/>
        <v>0</v>
      </c>
      <c r="BL81" s="250">
        <f t="shared" si="89"/>
        <v>0</v>
      </c>
      <c r="BM81" s="250">
        <f t="shared" si="89"/>
        <v>0</v>
      </c>
      <c r="BN81" s="250">
        <f t="shared" si="89"/>
        <v>0</v>
      </c>
      <c r="BO81" s="250">
        <f t="shared" si="89"/>
        <v>0</v>
      </c>
      <c r="BP81" s="250">
        <f t="shared" si="89"/>
        <v>0</v>
      </c>
      <c r="BQ81" s="250">
        <f t="shared" si="89"/>
        <v>0</v>
      </c>
      <c r="BR81" s="250">
        <f t="shared" si="89"/>
        <v>2.7749999999999999</v>
      </c>
      <c r="BS81" s="250">
        <f t="shared" si="89"/>
        <v>0</v>
      </c>
      <c r="BT81" s="250">
        <f t="shared" si="89"/>
        <v>0</v>
      </c>
      <c r="BU81" s="250">
        <f t="shared" si="89"/>
        <v>0</v>
      </c>
      <c r="BV81" s="250">
        <f t="shared" si="89"/>
        <v>0</v>
      </c>
      <c r="BW81" s="250">
        <f t="shared" si="89"/>
        <v>0</v>
      </c>
      <c r="BX81" s="250">
        <f t="shared" si="89"/>
        <v>0</v>
      </c>
      <c r="BY81" s="250">
        <f t="shared" ref="BY81:CC81" si="90">BY83+BY84+BY85</f>
        <v>0</v>
      </c>
      <c r="BZ81" s="250">
        <f t="shared" si="90"/>
        <v>0</v>
      </c>
      <c r="CA81" s="250">
        <f t="shared" si="90"/>
        <v>0</v>
      </c>
      <c r="CB81" s="250">
        <f t="shared" si="90"/>
        <v>0</v>
      </c>
      <c r="CC81" s="250">
        <f t="shared" si="90"/>
        <v>0</v>
      </c>
      <c r="CD81" s="518">
        <f>'10'!T60</f>
        <v>0</v>
      </c>
    </row>
    <row r="82" spans="1:82" s="65" customFormat="1" ht="346.5">
      <c r="A82" s="242" t="s">
        <v>916</v>
      </c>
      <c r="B82" s="244" t="s">
        <v>918</v>
      </c>
      <c r="C82" s="204" t="s">
        <v>919</v>
      </c>
      <c r="D82" s="547" t="s">
        <v>876</v>
      </c>
      <c r="E82" s="252">
        <v>0</v>
      </c>
      <c r="F82" s="252">
        <v>0</v>
      </c>
      <c r="G82" s="252">
        <v>0</v>
      </c>
      <c r="H82" s="252">
        <v>0</v>
      </c>
      <c r="I82" s="252">
        <v>0</v>
      </c>
      <c r="J82" s="252">
        <v>0</v>
      </c>
      <c r="K82" s="252">
        <v>0</v>
      </c>
      <c r="L82" s="250">
        <v>0</v>
      </c>
      <c r="M82" s="250">
        <v>0</v>
      </c>
      <c r="N82" s="250">
        <v>0</v>
      </c>
      <c r="O82" s="250">
        <v>0</v>
      </c>
      <c r="P82" s="250">
        <v>0</v>
      </c>
      <c r="Q82" s="250">
        <v>0</v>
      </c>
      <c r="R82" s="250">
        <v>0</v>
      </c>
      <c r="S82" s="250">
        <v>0</v>
      </c>
      <c r="T82" s="250">
        <v>0</v>
      </c>
      <c r="U82" s="250">
        <v>0</v>
      </c>
      <c r="V82" s="250">
        <v>0</v>
      </c>
      <c r="W82" s="250">
        <v>0</v>
      </c>
      <c r="X82" s="250">
        <v>0</v>
      </c>
      <c r="Y82" s="250">
        <v>0</v>
      </c>
      <c r="Z82" s="250">
        <v>0</v>
      </c>
      <c r="AA82" s="250">
        <v>0</v>
      </c>
      <c r="AB82" s="250">
        <v>0</v>
      </c>
      <c r="AC82" s="250">
        <v>0</v>
      </c>
      <c r="AD82" s="250">
        <v>0</v>
      </c>
      <c r="AE82" s="250">
        <v>0</v>
      </c>
      <c r="AF82" s="250">
        <v>0</v>
      </c>
      <c r="AG82" s="250">
        <v>0</v>
      </c>
      <c r="AH82" s="250">
        <v>0</v>
      </c>
      <c r="AI82" s="250">
        <v>0</v>
      </c>
      <c r="AJ82" s="250">
        <v>0</v>
      </c>
      <c r="AK82" s="250">
        <v>0</v>
      </c>
      <c r="AL82" s="250">
        <v>0</v>
      </c>
      <c r="AM82" s="250">
        <v>0</v>
      </c>
      <c r="AN82" s="248">
        <f t="shared" ref="AN82" si="91">AU82+BB82+BI82+BP82</f>
        <v>0</v>
      </c>
      <c r="AO82" s="248">
        <f t="shared" ref="AO82" si="92">AV82+BC82+BJ82+BQ82</f>
        <v>0</v>
      </c>
      <c r="AP82" s="248">
        <f t="shared" ref="AP82" si="93">AW82+BD82+BK82+BR82</f>
        <v>0</v>
      </c>
      <c r="AQ82" s="248">
        <f t="shared" ref="AQ82" si="94">AX82+BE82+BL82+BS82</f>
        <v>0</v>
      </c>
      <c r="AR82" s="248">
        <f t="shared" ref="AR82" si="95">AY82+BF82+BM82+BT82</f>
        <v>0</v>
      </c>
      <c r="AS82" s="248">
        <f t="shared" ref="AS82" si="96">AZ82+BG82+BN82+BU82</f>
        <v>0</v>
      </c>
      <c r="AT82" s="248">
        <f t="shared" ref="AT82" si="97">BA82+BH82+BO82+BV82</f>
        <v>0</v>
      </c>
      <c r="AU82" s="250">
        <v>0</v>
      </c>
      <c r="AV82" s="250">
        <v>0</v>
      </c>
      <c r="AW82" s="250">
        <f>'14'!Q78</f>
        <v>0</v>
      </c>
      <c r="AX82" s="250">
        <v>0</v>
      </c>
      <c r="AY82" s="250">
        <v>0</v>
      </c>
      <c r="AZ82" s="250">
        <v>0</v>
      </c>
      <c r="BA82" s="250">
        <v>0</v>
      </c>
      <c r="BB82" s="250">
        <v>0</v>
      </c>
      <c r="BC82" s="250">
        <v>0</v>
      </c>
      <c r="BD82" s="250">
        <f>'14'!V77</f>
        <v>0</v>
      </c>
      <c r="BE82" s="250">
        <v>0</v>
      </c>
      <c r="BF82" s="250">
        <v>0</v>
      </c>
      <c r="BG82" s="250">
        <v>0</v>
      </c>
      <c r="BH82" s="250">
        <v>0</v>
      </c>
      <c r="BI82" s="250">
        <v>0</v>
      </c>
      <c r="BJ82" s="250">
        <v>0</v>
      </c>
      <c r="BK82" s="250">
        <f>'14'!AA77</f>
        <v>0</v>
      </c>
      <c r="BL82" s="250">
        <v>0</v>
      </c>
      <c r="BM82" s="250">
        <v>0</v>
      </c>
      <c r="BN82" s="250">
        <v>0</v>
      </c>
      <c r="BO82" s="250">
        <v>0</v>
      </c>
      <c r="BP82" s="250">
        <v>0</v>
      </c>
      <c r="BQ82" s="250">
        <v>0</v>
      </c>
      <c r="BR82" s="250">
        <f>'14'!AF77</f>
        <v>0</v>
      </c>
      <c r="BS82" s="250">
        <v>0</v>
      </c>
      <c r="BT82" s="250">
        <v>0</v>
      </c>
      <c r="BU82" s="250">
        <v>0</v>
      </c>
      <c r="BV82" s="250">
        <v>0</v>
      </c>
      <c r="BW82" s="248">
        <f t="shared" ref="BW82" si="98">E82-AN82</f>
        <v>0</v>
      </c>
      <c r="BX82" s="248">
        <f t="shared" ref="BX82" si="99">F82-AO82</f>
        <v>0</v>
      </c>
      <c r="BY82" s="248">
        <f t="shared" ref="BY82" si="100">G82-AP82</f>
        <v>0</v>
      </c>
      <c r="BZ82" s="248">
        <f t="shared" ref="BZ82" si="101">H82-AQ82</f>
        <v>0</v>
      </c>
      <c r="CA82" s="248">
        <f t="shared" ref="CA82" si="102">I82-AR82</f>
        <v>0</v>
      </c>
      <c r="CB82" s="248">
        <f t="shared" ref="CB82" si="103">J82-AS82</f>
        <v>0</v>
      </c>
      <c r="CC82" s="248">
        <f t="shared" ref="CC82" si="104">K82-AT82</f>
        <v>0</v>
      </c>
      <c r="CD82" s="547" t="str">
        <f>'10'!T61</f>
        <v>Переходящее мероприятие, на 2019 год,  в 2018 году проектирование. Мероприятие не профинансировано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</row>
    <row r="83" spans="1:82" s="65" customFormat="1" ht="299.25">
      <c r="A83" s="242" t="s">
        <v>916</v>
      </c>
      <c r="B83" s="244" t="s">
        <v>920</v>
      </c>
      <c r="C83" s="204" t="s">
        <v>919</v>
      </c>
      <c r="D83" s="163" t="s">
        <v>876</v>
      </c>
      <c r="E83" s="252">
        <v>0</v>
      </c>
      <c r="F83" s="252">
        <v>0</v>
      </c>
      <c r="G83" s="252">
        <v>0</v>
      </c>
      <c r="H83" s="252">
        <v>0</v>
      </c>
      <c r="I83" s="252">
        <v>0</v>
      </c>
      <c r="J83" s="252">
        <v>0</v>
      </c>
      <c r="K83" s="252">
        <v>0</v>
      </c>
      <c r="L83" s="250">
        <v>0</v>
      </c>
      <c r="M83" s="250">
        <v>0</v>
      </c>
      <c r="N83" s="250">
        <v>0</v>
      </c>
      <c r="O83" s="250">
        <v>0</v>
      </c>
      <c r="P83" s="250">
        <v>0</v>
      </c>
      <c r="Q83" s="250">
        <v>0</v>
      </c>
      <c r="R83" s="250">
        <v>0</v>
      </c>
      <c r="S83" s="250">
        <v>0</v>
      </c>
      <c r="T83" s="250">
        <v>0</v>
      </c>
      <c r="U83" s="250">
        <v>0</v>
      </c>
      <c r="V83" s="250">
        <v>0</v>
      </c>
      <c r="W83" s="250">
        <v>0</v>
      </c>
      <c r="X83" s="250">
        <v>0</v>
      </c>
      <c r="Y83" s="250">
        <v>0</v>
      </c>
      <c r="Z83" s="250">
        <v>0</v>
      </c>
      <c r="AA83" s="250">
        <v>0</v>
      </c>
      <c r="AB83" s="250">
        <v>0</v>
      </c>
      <c r="AC83" s="250">
        <v>0</v>
      </c>
      <c r="AD83" s="250">
        <v>0</v>
      </c>
      <c r="AE83" s="250">
        <v>0</v>
      </c>
      <c r="AF83" s="250">
        <v>0</v>
      </c>
      <c r="AG83" s="250">
        <v>0</v>
      </c>
      <c r="AH83" s="250">
        <v>0</v>
      </c>
      <c r="AI83" s="250">
        <v>0</v>
      </c>
      <c r="AJ83" s="250">
        <v>0</v>
      </c>
      <c r="AK83" s="250">
        <v>0</v>
      </c>
      <c r="AL83" s="250">
        <v>0</v>
      </c>
      <c r="AM83" s="250">
        <v>0</v>
      </c>
      <c r="AN83" s="248">
        <f t="shared" si="5"/>
        <v>0</v>
      </c>
      <c r="AO83" s="248">
        <f t="shared" si="6"/>
        <v>0</v>
      </c>
      <c r="AP83" s="248">
        <f t="shared" si="7"/>
        <v>0</v>
      </c>
      <c r="AQ83" s="248">
        <f t="shared" si="8"/>
        <v>0</v>
      </c>
      <c r="AR83" s="248">
        <f t="shared" si="9"/>
        <v>0</v>
      </c>
      <c r="AS83" s="248">
        <f t="shared" si="10"/>
        <v>0</v>
      </c>
      <c r="AT83" s="248">
        <f t="shared" si="11"/>
        <v>0</v>
      </c>
      <c r="AU83" s="250">
        <v>0</v>
      </c>
      <c r="AV83" s="250">
        <v>0</v>
      </c>
      <c r="AW83" s="250">
        <f>'14'!Q79</f>
        <v>0</v>
      </c>
      <c r="AX83" s="250">
        <v>0</v>
      </c>
      <c r="AY83" s="250">
        <v>0</v>
      </c>
      <c r="AZ83" s="250">
        <v>0</v>
      </c>
      <c r="BA83" s="250">
        <v>0</v>
      </c>
      <c r="BB83" s="250">
        <v>0</v>
      </c>
      <c r="BC83" s="250">
        <v>0</v>
      </c>
      <c r="BD83" s="250">
        <f>'14'!V78</f>
        <v>0</v>
      </c>
      <c r="BE83" s="250">
        <v>0</v>
      </c>
      <c r="BF83" s="250">
        <v>0</v>
      </c>
      <c r="BG83" s="250">
        <v>0</v>
      </c>
      <c r="BH83" s="250">
        <v>0</v>
      </c>
      <c r="BI83" s="250">
        <v>0</v>
      </c>
      <c r="BJ83" s="250">
        <v>0</v>
      </c>
      <c r="BK83" s="250">
        <f>'14'!AA78</f>
        <v>0</v>
      </c>
      <c r="BL83" s="250">
        <v>0</v>
      </c>
      <c r="BM83" s="250">
        <v>0</v>
      </c>
      <c r="BN83" s="250">
        <v>0</v>
      </c>
      <c r="BO83" s="250">
        <v>0</v>
      </c>
      <c r="BP83" s="250">
        <v>0</v>
      </c>
      <c r="BQ83" s="250">
        <v>0</v>
      </c>
      <c r="BR83" s="250">
        <f>'14'!AF78</f>
        <v>0</v>
      </c>
      <c r="BS83" s="250">
        <v>0</v>
      </c>
      <c r="BT83" s="250">
        <v>0</v>
      </c>
      <c r="BU83" s="250">
        <v>0</v>
      </c>
      <c r="BV83" s="250">
        <v>0</v>
      </c>
      <c r="BW83" s="248">
        <f t="shared" si="13"/>
        <v>0</v>
      </c>
      <c r="BX83" s="248">
        <f t="shared" si="14"/>
        <v>0</v>
      </c>
      <c r="BY83" s="248">
        <f t="shared" si="15"/>
        <v>0</v>
      </c>
      <c r="BZ83" s="248">
        <f t="shared" si="16"/>
        <v>0</v>
      </c>
      <c r="CA83" s="248">
        <f t="shared" si="17"/>
        <v>0</v>
      </c>
      <c r="CB83" s="248">
        <f t="shared" si="18"/>
        <v>0</v>
      </c>
      <c r="CC83" s="248">
        <f t="shared" si="19"/>
        <v>0</v>
      </c>
      <c r="CD83" s="518" t="str">
        <f>'10'!T62</f>
        <v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</row>
    <row r="84" spans="1:82" s="65" customFormat="1" ht="299.25">
      <c r="A84" s="242" t="s">
        <v>916</v>
      </c>
      <c r="B84" s="244" t="s">
        <v>922</v>
      </c>
      <c r="C84" s="204" t="s">
        <v>923</v>
      </c>
      <c r="D84" s="163" t="s">
        <v>876</v>
      </c>
      <c r="E84" s="252">
        <v>0</v>
      </c>
      <c r="F84" s="252">
        <v>0</v>
      </c>
      <c r="G84" s="252">
        <v>1</v>
      </c>
      <c r="H84" s="252">
        <v>0</v>
      </c>
      <c r="I84" s="252">
        <v>0</v>
      </c>
      <c r="J84" s="252">
        <v>0</v>
      </c>
      <c r="K84" s="252">
        <v>0</v>
      </c>
      <c r="L84" s="250">
        <v>0</v>
      </c>
      <c r="M84" s="250">
        <v>0</v>
      </c>
      <c r="N84" s="250">
        <v>0</v>
      </c>
      <c r="O84" s="250">
        <v>0</v>
      </c>
      <c r="P84" s="250">
        <v>0</v>
      </c>
      <c r="Q84" s="250">
        <v>0</v>
      </c>
      <c r="R84" s="250">
        <v>0</v>
      </c>
      <c r="S84" s="250">
        <v>0</v>
      </c>
      <c r="T84" s="250">
        <v>0</v>
      </c>
      <c r="U84" s="250">
        <v>0</v>
      </c>
      <c r="V84" s="250">
        <v>0</v>
      </c>
      <c r="W84" s="250">
        <v>0</v>
      </c>
      <c r="X84" s="250">
        <v>0</v>
      </c>
      <c r="Y84" s="250">
        <v>0</v>
      </c>
      <c r="Z84" s="250">
        <v>0</v>
      </c>
      <c r="AA84" s="250">
        <v>0</v>
      </c>
      <c r="AB84" s="250">
        <v>0</v>
      </c>
      <c r="AC84" s="250">
        <v>0</v>
      </c>
      <c r="AD84" s="250">
        <v>0</v>
      </c>
      <c r="AE84" s="250">
        <v>0</v>
      </c>
      <c r="AF84" s="250">
        <v>0</v>
      </c>
      <c r="AG84" s="250">
        <v>0</v>
      </c>
      <c r="AH84" s="250">
        <v>0</v>
      </c>
      <c r="AI84" s="250">
        <v>0</v>
      </c>
      <c r="AJ84" s="250">
        <v>0</v>
      </c>
      <c r="AK84" s="250">
        <v>0</v>
      </c>
      <c r="AL84" s="250">
        <v>0</v>
      </c>
      <c r="AM84" s="250">
        <v>0</v>
      </c>
      <c r="AN84" s="248">
        <f t="shared" si="5"/>
        <v>0</v>
      </c>
      <c r="AO84" s="248">
        <f t="shared" si="6"/>
        <v>0</v>
      </c>
      <c r="AP84" s="248">
        <f t="shared" si="7"/>
        <v>1</v>
      </c>
      <c r="AQ84" s="248">
        <f t="shared" si="8"/>
        <v>0</v>
      </c>
      <c r="AR84" s="248">
        <f t="shared" si="9"/>
        <v>0</v>
      </c>
      <c r="AS84" s="248">
        <f t="shared" si="10"/>
        <v>0</v>
      </c>
      <c r="AT84" s="248">
        <f t="shared" si="11"/>
        <v>0</v>
      </c>
      <c r="AU84" s="250">
        <v>0</v>
      </c>
      <c r="AV84" s="250">
        <v>0</v>
      </c>
      <c r="AW84" s="250">
        <f>'14'!Q80</f>
        <v>0</v>
      </c>
      <c r="AX84" s="250">
        <v>0</v>
      </c>
      <c r="AY84" s="250">
        <v>0</v>
      </c>
      <c r="AZ84" s="250">
        <v>0</v>
      </c>
      <c r="BA84" s="250">
        <v>0</v>
      </c>
      <c r="BB84" s="250">
        <v>0</v>
      </c>
      <c r="BC84" s="250">
        <v>0</v>
      </c>
      <c r="BD84" s="250">
        <f>'14'!V79</f>
        <v>0</v>
      </c>
      <c r="BE84" s="250">
        <v>0</v>
      </c>
      <c r="BF84" s="250">
        <v>0</v>
      </c>
      <c r="BG84" s="250">
        <v>0</v>
      </c>
      <c r="BH84" s="250">
        <v>0</v>
      </c>
      <c r="BI84" s="250">
        <v>0</v>
      </c>
      <c r="BJ84" s="250">
        <v>0</v>
      </c>
      <c r="BK84" s="250">
        <f>'14'!AA79</f>
        <v>0</v>
      </c>
      <c r="BL84" s="250">
        <v>0</v>
      </c>
      <c r="BM84" s="250">
        <v>0</v>
      </c>
      <c r="BN84" s="250">
        <v>0</v>
      </c>
      <c r="BO84" s="250">
        <v>0</v>
      </c>
      <c r="BP84" s="250">
        <v>0</v>
      </c>
      <c r="BQ84" s="250">
        <v>0</v>
      </c>
      <c r="BR84" s="250">
        <f>'14'!AF79</f>
        <v>1</v>
      </c>
      <c r="BS84" s="250">
        <v>0</v>
      </c>
      <c r="BT84" s="250">
        <v>0</v>
      </c>
      <c r="BU84" s="250">
        <v>0</v>
      </c>
      <c r="BV84" s="250">
        <v>0</v>
      </c>
      <c r="BW84" s="248">
        <f t="shared" si="13"/>
        <v>0</v>
      </c>
      <c r="BX84" s="248">
        <f t="shared" si="14"/>
        <v>0</v>
      </c>
      <c r="BY84" s="248">
        <f>G84-AP84</f>
        <v>0</v>
      </c>
      <c r="BZ84" s="248">
        <f t="shared" si="16"/>
        <v>0</v>
      </c>
      <c r="CA84" s="248">
        <f t="shared" si="17"/>
        <v>0</v>
      </c>
      <c r="CB84" s="248">
        <f t="shared" si="18"/>
        <v>0</v>
      </c>
      <c r="CC84" s="248">
        <f t="shared" si="19"/>
        <v>0</v>
      </c>
      <c r="CD84" s="518" t="str">
        <f>'10'!T64</f>
        <v>Мероприятие не профинансировано в полном объеме по причине  приостановки платежей за оказанные услуги по передаче электрической энергии со стороны потребителя ООО "ВКМ - СТАЛЬ" в связи с предъявлением ПАО "МРСК Волги " к потребителю иска о задолженности по оплате за услуги, фактически оказанные АО "МЭК" до вступления в законную силу Решения Арбитражного суда Республики Мордовия. Решение вступило в законную силу 26.01.2019 года.</v>
      </c>
    </row>
    <row r="85" spans="1:82" s="65" customFormat="1" ht="126">
      <c r="A85" s="242" t="s">
        <v>916</v>
      </c>
      <c r="B85" s="244" t="s">
        <v>1089</v>
      </c>
      <c r="C85" s="204" t="s">
        <v>924</v>
      </c>
      <c r="D85" s="163" t="s">
        <v>876</v>
      </c>
      <c r="E85" s="252">
        <v>0</v>
      </c>
      <c r="F85" s="252">
        <v>0</v>
      </c>
      <c r="G85" s="252">
        <v>1.7749999999999999</v>
      </c>
      <c r="H85" s="252">
        <v>0</v>
      </c>
      <c r="I85" s="252">
        <v>0</v>
      </c>
      <c r="J85" s="252">
        <v>0</v>
      </c>
      <c r="K85" s="252">
        <v>0</v>
      </c>
      <c r="L85" s="250">
        <v>0</v>
      </c>
      <c r="M85" s="250">
        <v>0</v>
      </c>
      <c r="N85" s="250">
        <v>0</v>
      </c>
      <c r="O85" s="250">
        <v>0</v>
      </c>
      <c r="P85" s="250">
        <v>0</v>
      </c>
      <c r="Q85" s="250">
        <v>0</v>
      </c>
      <c r="R85" s="250">
        <v>0</v>
      </c>
      <c r="S85" s="250">
        <v>0</v>
      </c>
      <c r="T85" s="250">
        <v>0</v>
      </c>
      <c r="U85" s="250">
        <v>0</v>
      </c>
      <c r="V85" s="250">
        <v>0</v>
      </c>
      <c r="W85" s="250">
        <v>0</v>
      </c>
      <c r="X85" s="250">
        <v>0</v>
      </c>
      <c r="Y85" s="250">
        <v>0</v>
      </c>
      <c r="Z85" s="250">
        <v>0</v>
      </c>
      <c r="AA85" s="250">
        <v>0</v>
      </c>
      <c r="AB85" s="250">
        <v>0</v>
      </c>
      <c r="AC85" s="250">
        <v>0</v>
      </c>
      <c r="AD85" s="250">
        <v>0</v>
      </c>
      <c r="AE85" s="250">
        <v>0</v>
      </c>
      <c r="AF85" s="250">
        <v>0</v>
      </c>
      <c r="AG85" s="250">
        <v>0</v>
      </c>
      <c r="AH85" s="250">
        <v>0</v>
      </c>
      <c r="AI85" s="250">
        <v>0</v>
      </c>
      <c r="AJ85" s="250">
        <v>0</v>
      </c>
      <c r="AK85" s="250">
        <v>0</v>
      </c>
      <c r="AL85" s="250">
        <v>0</v>
      </c>
      <c r="AM85" s="250">
        <v>0</v>
      </c>
      <c r="AN85" s="248">
        <f t="shared" si="5"/>
        <v>0</v>
      </c>
      <c r="AO85" s="248">
        <f t="shared" si="6"/>
        <v>0</v>
      </c>
      <c r="AP85" s="248">
        <f t="shared" si="7"/>
        <v>1.7749999999999999</v>
      </c>
      <c r="AQ85" s="248">
        <f t="shared" si="8"/>
        <v>0</v>
      </c>
      <c r="AR85" s="248">
        <f t="shared" si="9"/>
        <v>0</v>
      </c>
      <c r="AS85" s="248">
        <f t="shared" si="10"/>
        <v>0</v>
      </c>
      <c r="AT85" s="248">
        <f t="shared" si="11"/>
        <v>0</v>
      </c>
      <c r="AU85" s="250">
        <v>0</v>
      </c>
      <c r="AV85" s="250">
        <v>0</v>
      </c>
      <c r="AW85" s="250">
        <f>'14'!Q81</f>
        <v>0</v>
      </c>
      <c r="AX85" s="250">
        <v>0</v>
      </c>
      <c r="AY85" s="250">
        <v>0</v>
      </c>
      <c r="AZ85" s="250">
        <v>0</v>
      </c>
      <c r="BA85" s="250">
        <v>0</v>
      </c>
      <c r="BB85" s="250">
        <v>0</v>
      </c>
      <c r="BC85" s="250">
        <v>0</v>
      </c>
      <c r="BD85" s="250">
        <f>'14'!V80</f>
        <v>0</v>
      </c>
      <c r="BE85" s="250">
        <v>0</v>
      </c>
      <c r="BF85" s="250">
        <v>0</v>
      </c>
      <c r="BG85" s="250">
        <v>0</v>
      </c>
      <c r="BH85" s="250">
        <v>0</v>
      </c>
      <c r="BI85" s="250">
        <v>0</v>
      </c>
      <c r="BJ85" s="250">
        <v>0</v>
      </c>
      <c r="BK85" s="250">
        <f>'14'!AA80</f>
        <v>0</v>
      </c>
      <c r="BL85" s="250">
        <v>0</v>
      </c>
      <c r="BM85" s="250">
        <v>0</v>
      </c>
      <c r="BN85" s="250">
        <v>0</v>
      </c>
      <c r="BO85" s="250">
        <v>0</v>
      </c>
      <c r="BP85" s="250">
        <v>0</v>
      </c>
      <c r="BQ85" s="250">
        <v>0</v>
      </c>
      <c r="BR85" s="250">
        <f>'14'!AF80</f>
        <v>1.7749999999999999</v>
      </c>
      <c r="BS85" s="250">
        <v>0</v>
      </c>
      <c r="BT85" s="250">
        <v>0</v>
      </c>
      <c r="BU85" s="250">
        <v>0</v>
      </c>
      <c r="BV85" s="250">
        <v>0</v>
      </c>
      <c r="BW85" s="248">
        <f t="shared" si="13"/>
        <v>0</v>
      </c>
      <c r="BX85" s="248">
        <f t="shared" si="14"/>
        <v>0</v>
      </c>
      <c r="BY85" s="248">
        <f t="shared" si="15"/>
        <v>0</v>
      </c>
      <c r="BZ85" s="248">
        <f t="shared" si="16"/>
        <v>0</v>
      </c>
      <c r="CA85" s="248">
        <f t="shared" si="17"/>
        <v>0</v>
      </c>
      <c r="CB85" s="248">
        <f t="shared" si="18"/>
        <v>0</v>
      </c>
      <c r="CC85" s="248">
        <f t="shared" si="19"/>
        <v>0</v>
      </c>
      <c r="CD85" s="518" t="str">
        <f>'10'!T65</f>
        <v>Финансирование освоенного инвестиционного проекта 2017 года</v>
      </c>
    </row>
    <row r="86" spans="1:82" s="65" customFormat="1" ht="63">
      <c r="A86" s="242" t="s">
        <v>916</v>
      </c>
      <c r="B86" s="245" t="s">
        <v>1069</v>
      </c>
      <c r="C86" s="207" t="s">
        <v>1093</v>
      </c>
      <c r="D86" s="163" t="s">
        <v>876</v>
      </c>
      <c r="E86" s="252">
        <v>0</v>
      </c>
      <c r="F86" s="252">
        <v>0</v>
      </c>
      <c r="G86" s="252">
        <v>0</v>
      </c>
      <c r="H86" s="252">
        <v>0</v>
      </c>
      <c r="I86" s="252">
        <v>0</v>
      </c>
      <c r="J86" s="252">
        <v>0</v>
      </c>
      <c r="K86" s="252">
        <v>0</v>
      </c>
      <c r="L86" s="250">
        <v>0</v>
      </c>
      <c r="M86" s="250">
        <v>0</v>
      </c>
      <c r="N86" s="250">
        <v>0</v>
      </c>
      <c r="O86" s="250">
        <v>0</v>
      </c>
      <c r="P86" s="250">
        <v>0</v>
      </c>
      <c r="Q86" s="250">
        <v>0</v>
      </c>
      <c r="R86" s="250">
        <v>0</v>
      </c>
      <c r="S86" s="250">
        <v>0</v>
      </c>
      <c r="T86" s="250">
        <v>0</v>
      </c>
      <c r="U86" s="250">
        <v>0</v>
      </c>
      <c r="V86" s="250">
        <v>0</v>
      </c>
      <c r="W86" s="250">
        <v>0</v>
      </c>
      <c r="X86" s="250">
        <v>0</v>
      </c>
      <c r="Y86" s="250">
        <v>0</v>
      </c>
      <c r="Z86" s="250">
        <v>0</v>
      </c>
      <c r="AA86" s="250">
        <v>0</v>
      </c>
      <c r="AB86" s="250">
        <v>0</v>
      </c>
      <c r="AC86" s="250">
        <v>0</v>
      </c>
      <c r="AD86" s="250">
        <v>0</v>
      </c>
      <c r="AE86" s="250">
        <v>0</v>
      </c>
      <c r="AF86" s="250">
        <v>0</v>
      </c>
      <c r="AG86" s="250">
        <v>0</v>
      </c>
      <c r="AH86" s="250">
        <v>0</v>
      </c>
      <c r="AI86" s="250">
        <v>0</v>
      </c>
      <c r="AJ86" s="250">
        <v>0</v>
      </c>
      <c r="AK86" s="250">
        <v>0</v>
      </c>
      <c r="AL86" s="250">
        <v>0</v>
      </c>
      <c r="AM86" s="250">
        <v>0</v>
      </c>
      <c r="AN86" s="248">
        <v>0</v>
      </c>
      <c r="AO86" s="248">
        <v>0</v>
      </c>
      <c r="AP86" s="248">
        <v>0</v>
      </c>
      <c r="AQ86" s="248">
        <v>0</v>
      </c>
      <c r="AR86" s="248">
        <v>0</v>
      </c>
      <c r="AS86" s="248">
        <v>0</v>
      </c>
      <c r="AT86" s="248">
        <v>0</v>
      </c>
      <c r="AU86" s="250">
        <v>0</v>
      </c>
      <c r="AV86" s="250">
        <v>0</v>
      </c>
      <c r="AW86" s="250">
        <f>'14'!Q82</f>
        <v>0</v>
      </c>
      <c r="AX86" s="250">
        <v>0</v>
      </c>
      <c r="AY86" s="250">
        <v>0</v>
      </c>
      <c r="AZ86" s="250">
        <v>0</v>
      </c>
      <c r="BA86" s="250">
        <v>0</v>
      </c>
      <c r="BB86" s="250">
        <v>0</v>
      </c>
      <c r="BC86" s="250">
        <v>0</v>
      </c>
      <c r="BD86" s="250">
        <f>'14'!V81</f>
        <v>0</v>
      </c>
      <c r="BE86" s="250">
        <v>0</v>
      </c>
      <c r="BF86" s="250">
        <v>0</v>
      </c>
      <c r="BG86" s="250">
        <v>0</v>
      </c>
      <c r="BH86" s="250">
        <v>0</v>
      </c>
      <c r="BI86" s="250">
        <v>0</v>
      </c>
      <c r="BJ86" s="250">
        <v>0</v>
      </c>
      <c r="BK86" s="250">
        <f>'14'!AA81</f>
        <v>0</v>
      </c>
      <c r="BL86" s="250">
        <v>0</v>
      </c>
      <c r="BM86" s="250">
        <v>0</v>
      </c>
      <c r="BN86" s="250">
        <v>0</v>
      </c>
      <c r="BO86" s="250">
        <v>0</v>
      </c>
      <c r="BP86" s="250">
        <v>0</v>
      </c>
      <c r="BQ86" s="250">
        <v>0</v>
      </c>
      <c r="BR86" s="250">
        <f>'14'!AF81</f>
        <v>0</v>
      </c>
      <c r="BS86" s="250">
        <v>0</v>
      </c>
      <c r="BT86" s="250">
        <v>0</v>
      </c>
      <c r="BU86" s="250">
        <v>0</v>
      </c>
      <c r="BV86" s="250">
        <v>0</v>
      </c>
      <c r="BW86" s="248">
        <v>0</v>
      </c>
      <c r="BX86" s="248">
        <v>0</v>
      </c>
      <c r="BY86" s="248">
        <v>0</v>
      </c>
      <c r="BZ86" s="248">
        <v>0</v>
      </c>
      <c r="CA86" s="248">
        <v>0</v>
      </c>
      <c r="CB86" s="248">
        <v>0</v>
      </c>
      <c r="CC86" s="248">
        <v>0</v>
      </c>
      <c r="CD86" s="518">
        <f>'10'!T66</f>
        <v>0</v>
      </c>
    </row>
    <row r="87" spans="1:82" s="65" customFormat="1" ht="78.75">
      <c r="A87" s="237" t="s">
        <v>925</v>
      </c>
      <c r="B87" s="238" t="s">
        <v>926</v>
      </c>
      <c r="C87" s="202" t="s">
        <v>876</v>
      </c>
      <c r="D87" s="163" t="s">
        <v>876</v>
      </c>
      <c r="E87" s="252">
        <v>0</v>
      </c>
      <c r="F87" s="252">
        <v>0</v>
      </c>
      <c r="G87" s="252">
        <v>0</v>
      </c>
      <c r="H87" s="252">
        <v>0</v>
      </c>
      <c r="I87" s="252">
        <v>0</v>
      </c>
      <c r="J87" s="252">
        <v>0</v>
      </c>
      <c r="K87" s="252">
        <v>0</v>
      </c>
      <c r="L87" s="250">
        <v>0</v>
      </c>
      <c r="M87" s="250">
        <v>0</v>
      </c>
      <c r="N87" s="250">
        <v>0</v>
      </c>
      <c r="O87" s="250">
        <v>0</v>
      </c>
      <c r="P87" s="250">
        <v>0</v>
      </c>
      <c r="Q87" s="250">
        <v>0</v>
      </c>
      <c r="R87" s="250">
        <v>0</v>
      </c>
      <c r="S87" s="250">
        <v>0</v>
      </c>
      <c r="T87" s="250">
        <v>0</v>
      </c>
      <c r="U87" s="250">
        <v>0</v>
      </c>
      <c r="V87" s="250">
        <v>0</v>
      </c>
      <c r="W87" s="250">
        <v>0</v>
      </c>
      <c r="X87" s="250">
        <v>0</v>
      </c>
      <c r="Y87" s="250">
        <v>0</v>
      </c>
      <c r="Z87" s="250">
        <v>0</v>
      </c>
      <c r="AA87" s="250">
        <v>0</v>
      </c>
      <c r="AB87" s="250">
        <v>0</v>
      </c>
      <c r="AC87" s="250">
        <v>0</v>
      </c>
      <c r="AD87" s="250">
        <v>0</v>
      </c>
      <c r="AE87" s="250">
        <v>0</v>
      </c>
      <c r="AF87" s="250">
        <v>0</v>
      </c>
      <c r="AG87" s="250">
        <v>0</v>
      </c>
      <c r="AH87" s="250">
        <v>0</v>
      </c>
      <c r="AI87" s="250">
        <v>0</v>
      </c>
      <c r="AJ87" s="250">
        <v>0</v>
      </c>
      <c r="AK87" s="250">
        <v>0</v>
      </c>
      <c r="AL87" s="250">
        <v>0</v>
      </c>
      <c r="AM87" s="250">
        <v>0</v>
      </c>
      <c r="AN87" s="248">
        <f t="shared" si="5"/>
        <v>0</v>
      </c>
      <c r="AO87" s="248">
        <f t="shared" si="6"/>
        <v>0</v>
      </c>
      <c r="AP87" s="248">
        <f t="shared" si="7"/>
        <v>0</v>
      </c>
      <c r="AQ87" s="248">
        <f t="shared" si="8"/>
        <v>0</v>
      </c>
      <c r="AR87" s="248">
        <f t="shared" si="9"/>
        <v>0</v>
      </c>
      <c r="AS87" s="248">
        <f t="shared" si="10"/>
        <v>0</v>
      </c>
      <c r="AT87" s="248">
        <f t="shared" si="11"/>
        <v>0</v>
      </c>
      <c r="AU87" s="250">
        <v>0</v>
      </c>
      <c r="AV87" s="250">
        <v>0</v>
      </c>
      <c r="AW87" s="250">
        <v>0</v>
      </c>
      <c r="AX87" s="250">
        <v>0</v>
      </c>
      <c r="AY87" s="250">
        <v>0</v>
      </c>
      <c r="AZ87" s="250">
        <v>0</v>
      </c>
      <c r="BA87" s="250">
        <v>0</v>
      </c>
      <c r="BB87" s="250">
        <v>0</v>
      </c>
      <c r="BC87" s="250">
        <v>0</v>
      </c>
      <c r="BD87" s="250"/>
      <c r="BE87" s="250">
        <v>0</v>
      </c>
      <c r="BF87" s="250">
        <v>0</v>
      </c>
      <c r="BG87" s="250">
        <v>0</v>
      </c>
      <c r="BH87" s="250">
        <v>0</v>
      </c>
      <c r="BI87" s="250">
        <v>0</v>
      </c>
      <c r="BJ87" s="250">
        <v>0</v>
      </c>
      <c r="BK87" s="250">
        <v>0</v>
      </c>
      <c r="BL87" s="250">
        <v>0</v>
      </c>
      <c r="BM87" s="250">
        <v>0</v>
      </c>
      <c r="BN87" s="250">
        <v>0</v>
      </c>
      <c r="BO87" s="250">
        <v>0</v>
      </c>
      <c r="BP87" s="250">
        <v>0</v>
      </c>
      <c r="BQ87" s="250">
        <v>0</v>
      </c>
      <c r="BR87" s="250">
        <v>0</v>
      </c>
      <c r="BS87" s="250">
        <v>0</v>
      </c>
      <c r="BT87" s="250">
        <v>0</v>
      </c>
      <c r="BU87" s="250">
        <v>0</v>
      </c>
      <c r="BV87" s="250">
        <v>0</v>
      </c>
      <c r="BW87" s="248">
        <f t="shared" si="13"/>
        <v>0</v>
      </c>
      <c r="BX87" s="248">
        <f t="shared" si="14"/>
        <v>0</v>
      </c>
      <c r="BY87" s="248">
        <f t="shared" si="15"/>
        <v>0</v>
      </c>
      <c r="BZ87" s="248">
        <f t="shared" si="16"/>
        <v>0</v>
      </c>
      <c r="CA87" s="248">
        <f t="shared" si="17"/>
        <v>0</v>
      </c>
      <c r="CB87" s="248">
        <f t="shared" si="18"/>
        <v>0</v>
      </c>
      <c r="CC87" s="248">
        <f t="shared" si="19"/>
        <v>0</v>
      </c>
      <c r="CD87" s="518">
        <f>'10'!T67</f>
        <v>0</v>
      </c>
    </row>
    <row r="88" spans="1:82" s="65" customFormat="1" ht="63">
      <c r="A88" s="239" t="s">
        <v>842</v>
      </c>
      <c r="B88" s="238" t="s">
        <v>927</v>
      </c>
      <c r="C88" s="202" t="s">
        <v>876</v>
      </c>
      <c r="D88" s="163" t="s">
        <v>876</v>
      </c>
      <c r="E88" s="249">
        <v>0</v>
      </c>
      <c r="F88" s="249">
        <v>0</v>
      </c>
      <c r="G88" s="249">
        <v>0</v>
      </c>
      <c r="H88" s="249">
        <v>0</v>
      </c>
      <c r="I88" s="249">
        <v>0</v>
      </c>
      <c r="J88" s="249">
        <v>0</v>
      </c>
      <c r="K88" s="249">
        <v>0</v>
      </c>
      <c r="L88" s="250">
        <f t="shared" ref="L88:AM88" si="105">L89+L90+L91+L92+L93+L94+L95+L96</f>
        <v>0</v>
      </c>
      <c r="M88" s="250">
        <f t="shared" si="105"/>
        <v>0</v>
      </c>
      <c r="N88" s="250">
        <f t="shared" si="105"/>
        <v>0</v>
      </c>
      <c r="O88" s="250">
        <f t="shared" si="105"/>
        <v>0</v>
      </c>
      <c r="P88" s="250">
        <f t="shared" si="105"/>
        <v>0</v>
      </c>
      <c r="Q88" s="250">
        <f t="shared" si="105"/>
        <v>0</v>
      </c>
      <c r="R88" s="250">
        <f t="shared" si="105"/>
        <v>0</v>
      </c>
      <c r="S88" s="250">
        <f t="shared" si="105"/>
        <v>0</v>
      </c>
      <c r="T88" s="250">
        <f t="shared" si="105"/>
        <v>0</v>
      </c>
      <c r="U88" s="250">
        <f t="shared" si="105"/>
        <v>0</v>
      </c>
      <c r="V88" s="250">
        <f t="shared" si="105"/>
        <v>0</v>
      </c>
      <c r="W88" s="250">
        <f t="shared" si="105"/>
        <v>0</v>
      </c>
      <c r="X88" s="250">
        <f t="shared" si="105"/>
        <v>0</v>
      </c>
      <c r="Y88" s="250">
        <f t="shared" si="105"/>
        <v>0</v>
      </c>
      <c r="Z88" s="250">
        <f t="shared" si="105"/>
        <v>0</v>
      </c>
      <c r="AA88" s="250">
        <f t="shared" si="105"/>
        <v>0</v>
      </c>
      <c r="AB88" s="250">
        <f t="shared" si="105"/>
        <v>0</v>
      </c>
      <c r="AC88" s="250">
        <f t="shared" si="105"/>
        <v>0</v>
      </c>
      <c r="AD88" s="250">
        <f t="shared" si="105"/>
        <v>0</v>
      </c>
      <c r="AE88" s="250">
        <f t="shared" si="105"/>
        <v>0</v>
      </c>
      <c r="AF88" s="250">
        <f t="shared" si="105"/>
        <v>0</v>
      </c>
      <c r="AG88" s="250">
        <f t="shared" si="105"/>
        <v>0</v>
      </c>
      <c r="AH88" s="250">
        <f t="shared" si="105"/>
        <v>0</v>
      </c>
      <c r="AI88" s="250">
        <f t="shared" si="105"/>
        <v>0</v>
      </c>
      <c r="AJ88" s="250">
        <f t="shared" si="105"/>
        <v>0</v>
      </c>
      <c r="AK88" s="250">
        <f t="shared" si="105"/>
        <v>0</v>
      </c>
      <c r="AL88" s="250">
        <f t="shared" si="105"/>
        <v>0</v>
      </c>
      <c r="AM88" s="250">
        <f t="shared" si="105"/>
        <v>0</v>
      </c>
      <c r="AN88" s="248">
        <f t="shared" si="5"/>
        <v>0</v>
      </c>
      <c r="AO88" s="248">
        <f t="shared" si="6"/>
        <v>0</v>
      </c>
      <c r="AP88" s="248">
        <f t="shared" si="7"/>
        <v>0</v>
      </c>
      <c r="AQ88" s="248">
        <f t="shared" si="8"/>
        <v>0</v>
      </c>
      <c r="AR88" s="248">
        <f>AY88+BF88+BM88+BT88</f>
        <v>0</v>
      </c>
      <c r="AS88" s="248">
        <f t="shared" si="10"/>
        <v>0</v>
      </c>
      <c r="AT88" s="248">
        <f t="shared" si="11"/>
        <v>0</v>
      </c>
      <c r="AU88" s="250">
        <f t="shared" ref="AU88:BV88" si="106">AU89+AU90+AU91+AU92+AU93+AU94+AU95+AU96</f>
        <v>0</v>
      </c>
      <c r="AV88" s="250">
        <f t="shared" si="106"/>
        <v>0</v>
      </c>
      <c r="AW88" s="250">
        <f t="shared" si="106"/>
        <v>0</v>
      </c>
      <c r="AX88" s="250">
        <f t="shared" si="106"/>
        <v>0</v>
      </c>
      <c r="AY88" s="250">
        <f t="shared" si="106"/>
        <v>0</v>
      </c>
      <c r="AZ88" s="250">
        <f t="shared" si="106"/>
        <v>0</v>
      </c>
      <c r="BA88" s="250">
        <f t="shared" si="106"/>
        <v>0</v>
      </c>
      <c r="BB88" s="250">
        <f t="shared" si="106"/>
        <v>0</v>
      </c>
      <c r="BC88" s="250">
        <f t="shared" si="106"/>
        <v>0</v>
      </c>
      <c r="BD88" s="250">
        <f t="shared" si="106"/>
        <v>0</v>
      </c>
      <c r="BE88" s="250">
        <f t="shared" si="106"/>
        <v>0</v>
      </c>
      <c r="BF88" s="250">
        <f t="shared" si="106"/>
        <v>0</v>
      </c>
      <c r="BG88" s="250">
        <f t="shared" si="106"/>
        <v>0</v>
      </c>
      <c r="BH88" s="250">
        <f t="shared" si="106"/>
        <v>0</v>
      </c>
      <c r="BI88" s="250">
        <f t="shared" si="106"/>
        <v>0</v>
      </c>
      <c r="BJ88" s="250">
        <f t="shared" si="106"/>
        <v>0</v>
      </c>
      <c r="BK88" s="250">
        <f t="shared" si="106"/>
        <v>0</v>
      </c>
      <c r="BL88" s="250">
        <f t="shared" si="106"/>
        <v>0</v>
      </c>
      <c r="BM88" s="250">
        <f t="shared" si="106"/>
        <v>0</v>
      </c>
      <c r="BN88" s="250">
        <f t="shared" si="106"/>
        <v>0</v>
      </c>
      <c r="BO88" s="250">
        <f t="shared" si="106"/>
        <v>0</v>
      </c>
      <c r="BP88" s="250">
        <f t="shared" si="106"/>
        <v>0</v>
      </c>
      <c r="BQ88" s="250">
        <f t="shared" si="106"/>
        <v>0</v>
      </c>
      <c r="BR88" s="250">
        <f t="shared" si="106"/>
        <v>0</v>
      </c>
      <c r="BS88" s="250">
        <f t="shared" si="106"/>
        <v>0</v>
      </c>
      <c r="BT88" s="250">
        <f t="shared" si="106"/>
        <v>0</v>
      </c>
      <c r="BU88" s="250">
        <f t="shared" si="106"/>
        <v>0</v>
      </c>
      <c r="BV88" s="250">
        <f t="shared" si="106"/>
        <v>0</v>
      </c>
      <c r="BW88" s="248">
        <f>E88-AN88</f>
        <v>0</v>
      </c>
      <c r="BX88" s="248">
        <f t="shared" si="14"/>
        <v>0</v>
      </c>
      <c r="BY88" s="248">
        <f t="shared" si="15"/>
        <v>0</v>
      </c>
      <c r="BZ88" s="248">
        <f t="shared" si="16"/>
        <v>0</v>
      </c>
      <c r="CA88" s="248">
        <f t="shared" si="17"/>
        <v>0</v>
      </c>
      <c r="CB88" s="248">
        <f t="shared" si="18"/>
        <v>0</v>
      </c>
      <c r="CC88" s="248">
        <f t="shared" si="19"/>
        <v>0</v>
      </c>
      <c r="CD88" s="518">
        <f>'10'!T68</f>
        <v>0</v>
      </c>
    </row>
    <row r="89" spans="1:82" s="65" customFormat="1" ht="63">
      <c r="A89" s="237" t="s">
        <v>436</v>
      </c>
      <c r="B89" s="238" t="s">
        <v>928</v>
      </c>
      <c r="C89" s="202" t="s">
        <v>876</v>
      </c>
      <c r="D89" s="163" t="s">
        <v>876</v>
      </c>
      <c r="E89" s="252">
        <v>0</v>
      </c>
      <c r="F89" s="252">
        <v>0</v>
      </c>
      <c r="G89" s="252">
        <v>0</v>
      </c>
      <c r="H89" s="252">
        <v>0</v>
      </c>
      <c r="I89" s="252">
        <v>0</v>
      </c>
      <c r="J89" s="252">
        <v>0</v>
      </c>
      <c r="K89" s="252">
        <v>0</v>
      </c>
      <c r="L89" s="250">
        <v>0</v>
      </c>
      <c r="M89" s="250">
        <v>0</v>
      </c>
      <c r="N89" s="250">
        <v>0</v>
      </c>
      <c r="O89" s="250">
        <v>0</v>
      </c>
      <c r="P89" s="250">
        <v>0</v>
      </c>
      <c r="Q89" s="250">
        <v>0</v>
      </c>
      <c r="R89" s="250">
        <v>0</v>
      </c>
      <c r="S89" s="250">
        <v>0</v>
      </c>
      <c r="T89" s="250">
        <v>0</v>
      </c>
      <c r="U89" s="250">
        <v>0</v>
      </c>
      <c r="V89" s="250">
        <v>0</v>
      </c>
      <c r="W89" s="250">
        <v>0</v>
      </c>
      <c r="X89" s="250">
        <v>0</v>
      </c>
      <c r="Y89" s="250">
        <v>0</v>
      </c>
      <c r="Z89" s="250">
        <v>0</v>
      </c>
      <c r="AA89" s="250">
        <v>0</v>
      </c>
      <c r="AB89" s="250">
        <v>0</v>
      </c>
      <c r="AC89" s="250">
        <v>0</v>
      </c>
      <c r="AD89" s="250">
        <v>0</v>
      </c>
      <c r="AE89" s="250">
        <v>0</v>
      </c>
      <c r="AF89" s="250">
        <v>0</v>
      </c>
      <c r="AG89" s="250">
        <v>0</v>
      </c>
      <c r="AH89" s="250">
        <v>0</v>
      </c>
      <c r="AI89" s="250">
        <v>0</v>
      </c>
      <c r="AJ89" s="250">
        <v>0</v>
      </c>
      <c r="AK89" s="250">
        <v>0</v>
      </c>
      <c r="AL89" s="250">
        <v>0</v>
      </c>
      <c r="AM89" s="250">
        <v>0</v>
      </c>
      <c r="AN89" s="248">
        <f t="shared" si="5"/>
        <v>0</v>
      </c>
      <c r="AO89" s="248">
        <f t="shared" si="6"/>
        <v>0</v>
      </c>
      <c r="AP89" s="248">
        <f t="shared" si="7"/>
        <v>0</v>
      </c>
      <c r="AQ89" s="248">
        <f t="shared" si="8"/>
        <v>0</v>
      </c>
      <c r="AR89" s="248">
        <f t="shared" si="9"/>
        <v>0</v>
      </c>
      <c r="AS89" s="248">
        <f t="shared" si="10"/>
        <v>0</v>
      </c>
      <c r="AT89" s="248">
        <f t="shared" si="11"/>
        <v>0</v>
      </c>
      <c r="AU89" s="250">
        <v>0</v>
      </c>
      <c r="AV89" s="250">
        <v>0</v>
      </c>
      <c r="AW89" s="250">
        <v>0</v>
      </c>
      <c r="AX89" s="250">
        <v>0</v>
      </c>
      <c r="AY89" s="250">
        <v>0</v>
      </c>
      <c r="AZ89" s="250">
        <v>0</v>
      </c>
      <c r="BA89" s="250">
        <v>0</v>
      </c>
      <c r="BB89" s="250">
        <v>0</v>
      </c>
      <c r="BC89" s="250">
        <v>0</v>
      </c>
      <c r="BD89" s="250">
        <v>0</v>
      </c>
      <c r="BE89" s="250">
        <v>0</v>
      </c>
      <c r="BF89" s="250">
        <v>0</v>
      </c>
      <c r="BG89" s="250">
        <v>0</v>
      </c>
      <c r="BH89" s="250">
        <v>0</v>
      </c>
      <c r="BI89" s="250">
        <v>0</v>
      </c>
      <c r="BJ89" s="250">
        <v>0</v>
      </c>
      <c r="BK89" s="250">
        <v>0</v>
      </c>
      <c r="BL89" s="250">
        <v>0</v>
      </c>
      <c r="BM89" s="250">
        <v>0</v>
      </c>
      <c r="BN89" s="250">
        <v>0</v>
      </c>
      <c r="BO89" s="250">
        <v>0</v>
      </c>
      <c r="BP89" s="250">
        <v>0</v>
      </c>
      <c r="BQ89" s="250">
        <v>0</v>
      </c>
      <c r="BR89" s="250">
        <v>0</v>
      </c>
      <c r="BS89" s="250">
        <v>0</v>
      </c>
      <c r="BT89" s="250">
        <v>0</v>
      </c>
      <c r="BU89" s="250">
        <v>0</v>
      </c>
      <c r="BV89" s="250">
        <v>0</v>
      </c>
      <c r="BW89" s="248">
        <f t="shared" si="13"/>
        <v>0</v>
      </c>
      <c r="BX89" s="248">
        <f t="shared" si="14"/>
        <v>0</v>
      </c>
      <c r="BY89" s="248">
        <f t="shared" si="15"/>
        <v>0</v>
      </c>
      <c r="BZ89" s="248">
        <f t="shared" si="16"/>
        <v>0</v>
      </c>
      <c r="CA89" s="248">
        <f t="shared" si="17"/>
        <v>0</v>
      </c>
      <c r="CB89" s="248">
        <f t="shared" si="18"/>
        <v>0</v>
      </c>
      <c r="CC89" s="248">
        <f t="shared" si="19"/>
        <v>0</v>
      </c>
      <c r="CD89" s="518">
        <f>'10'!T69</f>
        <v>0</v>
      </c>
    </row>
    <row r="90" spans="1:82" s="65" customFormat="1" ht="63">
      <c r="A90" s="237" t="s">
        <v>440</v>
      </c>
      <c r="B90" s="238" t="s">
        <v>929</v>
      </c>
      <c r="C90" s="202" t="s">
        <v>876</v>
      </c>
      <c r="D90" s="163" t="s">
        <v>876</v>
      </c>
      <c r="E90" s="252">
        <v>0</v>
      </c>
      <c r="F90" s="252">
        <v>0</v>
      </c>
      <c r="G90" s="252">
        <v>0</v>
      </c>
      <c r="H90" s="252">
        <v>0</v>
      </c>
      <c r="I90" s="252">
        <v>0</v>
      </c>
      <c r="J90" s="252">
        <v>0</v>
      </c>
      <c r="K90" s="252">
        <v>0</v>
      </c>
      <c r="L90" s="250">
        <v>0</v>
      </c>
      <c r="M90" s="250">
        <v>0</v>
      </c>
      <c r="N90" s="250">
        <v>0</v>
      </c>
      <c r="O90" s="250">
        <v>0</v>
      </c>
      <c r="P90" s="250">
        <v>0</v>
      </c>
      <c r="Q90" s="250">
        <v>0</v>
      </c>
      <c r="R90" s="250">
        <v>0</v>
      </c>
      <c r="S90" s="250">
        <v>0</v>
      </c>
      <c r="T90" s="250">
        <v>0</v>
      </c>
      <c r="U90" s="250">
        <v>0</v>
      </c>
      <c r="V90" s="250">
        <v>0</v>
      </c>
      <c r="W90" s="250">
        <v>0</v>
      </c>
      <c r="X90" s="250">
        <v>0</v>
      </c>
      <c r="Y90" s="250">
        <v>0</v>
      </c>
      <c r="Z90" s="250">
        <v>0</v>
      </c>
      <c r="AA90" s="250">
        <v>0</v>
      </c>
      <c r="AB90" s="250">
        <v>0</v>
      </c>
      <c r="AC90" s="250">
        <v>0</v>
      </c>
      <c r="AD90" s="250">
        <v>0</v>
      </c>
      <c r="AE90" s="250">
        <v>0</v>
      </c>
      <c r="AF90" s="250">
        <v>0</v>
      </c>
      <c r="AG90" s="250">
        <v>0</v>
      </c>
      <c r="AH90" s="250">
        <v>0</v>
      </c>
      <c r="AI90" s="250">
        <v>0</v>
      </c>
      <c r="AJ90" s="250">
        <v>0</v>
      </c>
      <c r="AK90" s="250">
        <v>0</v>
      </c>
      <c r="AL90" s="250">
        <v>0</v>
      </c>
      <c r="AM90" s="250">
        <v>0</v>
      </c>
      <c r="AN90" s="248">
        <f t="shared" si="5"/>
        <v>0</v>
      </c>
      <c r="AO90" s="248">
        <f t="shared" si="6"/>
        <v>0</v>
      </c>
      <c r="AP90" s="248">
        <f t="shared" si="7"/>
        <v>0</v>
      </c>
      <c r="AQ90" s="248">
        <f t="shared" si="8"/>
        <v>0</v>
      </c>
      <c r="AR90" s="248">
        <f t="shared" si="9"/>
        <v>0</v>
      </c>
      <c r="AS90" s="248">
        <f t="shared" si="10"/>
        <v>0</v>
      </c>
      <c r="AT90" s="248">
        <f t="shared" si="11"/>
        <v>0</v>
      </c>
      <c r="AU90" s="250">
        <v>0</v>
      </c>
      <c r="AV90" s="250">
        <v>0</v>
      </c>
      <c r="AW90" s="250">
        <v>0</v>
      </c>
      <c r="AX90" s="250">
        <v>0</v>
      </c>
      <c r="AY90" s="250">
        <v>0</v>
      </c>
      <c r="AZ90" s="250">
        <v>0</v>
      </c>
      <c r="BA90" s="250">
        <v>0</v>
      </c>
      <c r="BB90" s="250">
        <v>0</v>
      </c>
      <c r="BC90" s="250">
        <v>0</v>
      </c>
      <c r="BD90" s="250">
        <v>0</v>
      </c>
      <c r="BE90" s="250">
        <v>0</v>
      </c>
      <c r="BF90" s="250">
        <v>0</v>
      </c>
      <c r="BG90" s="250">
        <v>0</v>
      </c>
      <c r="BH90" s="250">
        <v>0</v>
      </c>
      <c r="BI90" s="250">
        <v>0</v>
      </c>
      <c r="BJ90" s="250">
        <v>0</v>
      </c>
      <c r="BK90" s="250">
        <v>0</v>
      </c>
      <c r="BL90" s="250">
        <v>0</v>
      </c>
      <c r="BM90" s="250">
        <v>0</v>
      </c>
      <c r="BN90" s="250">
        <v>0</v>
      </c>
      <c r="BO90" s="250">
        <v>0</v>
      </c>
      <c r="BP90" s="250">
        <v>0</v>
      </c>
      <c r="BQ90" s="250">
        <v>0</v>
      </c>
      <c r="BR90" s="250">
        <v>0</v>
      </c>
      <c r="BS90" s="250">
        <v>0</v>
      </c>
      <c r="BT90" s="250">
        <v>0</v>
      </c>
      <c r="BU90" s="250">
        <v>0</v>
      </c>
      <c r="BV90" s="250">
        <v>0</v>
      </c>
      <c r="BW90" s="248">
        <f t="shared" si="13"/>
        <v>0</v>
      </c>
      <c r="BX90" s="248">
        <f t="shared" si="14"/>
        <v>0</v>
      </c>
      <c r="BY90" s="248">
        <f t="shared" si="15"/>
        <v>0</v>
      </c>
      <c r="BZ90" s="248">
        <f t="shared" si="16"/>
        <v>0</v>
      </c>
      <c r="CA90" s="248">
        <f t="shared" si="17"/>
        <v>0</v>
      </c>
      <c r="CB90" s="248">
        <f t="shared" si="18"/>
        <v>0</v>
      </c>
      <c r="CC90" s="248">
        <f t="shared" si="19"/>
        <v>0</v>
      </c>
      <c r="CD90" s="518">
        <f>'10'!T70</f>
        <v>0</v>
      </c>
    </row>
    <row r="91" spans="1:82" s="65" customFormat="1" ht="47.25">
      <c r="A91" s="237" t="s">
        <v>441</v>
      </c>
      <c r="B91" s="238" t="s">
        <v>930</v>
      </c>
      <c r="C91" s="202" t="s">
        <v>876</v>
      </c>
      <c r="D91" s="163" t="s">
        <v>876</v>
      </c>
      <c r="E91" s="252">
        <v>0</v>
      </c>
      <c r="F91" s="252">
        <v>0</v>
      </c>
      <c r="G91" s="252">
        <v>0</v>
      </c>
      <c r="H91" s="252">
        <v>0</v>
      </c>
      <c r="I91" s="252">
        <v>0</v>
      </c>
      <c r="J91" s="252">
        <v>0</v>
      </c>
      <c r="K91" s="252">
        <v>0</v>
      </c>
      <c r="L91" s="250">
        <v>0</v>
      </c>
      <c r="M91" s="250">
        <v>0</v>
      </c>
      <c r="N91" s="250">
        <v>0</v>
      </c>
      <c r="O91" s="250">
        <v>0</v>
      </c>
      <c r="P91" s="250">
        <v>0</v>
      </c>
      <c r="Q91" s="250">
        <v>0</v>
      </c>
      <c r="R91" s="250">
        <v>0</v>
      </c>
      <c r="S91" s="250">
        <v>0</v>
      </c>
      <c r="T91" s="250">
        <v>0</v>
      </c>
      <c r="U91" s="250">
        <v>0</v>
      </c>
      <c r="V91" s="250">
        <v>0</v>
      </c>
      <c r="W91" s="250">
        <v>0</v>
      </c>
      <c r="X91" s="250">
        <v>0</v>
      </c>
      <c r="Y91" s="250">
        <v>0</v>
      </c>
      <c r="Z91" s="250">
        <v>0</v>
      </c>
      <c r="AA91" s="250">
        <v>0</v>
      </c>
      <c r="AB91" s="250">
        <v>0</v>
      </c>
      <c r="AC91" s="250">
        <v>0</v>
      </c>
      <c r="AD91" s="250">
        <v>0</v>
      </c>
      <c r="AE91" s="250">
        <v>0</v>
      </c>
      <c r="AF91" s="250">
        <v>0</v>
      </c>
      <c r="AG91" s="250">
        <v>0</v>
      </c>
      <c r="AH91" s="250">
        <v>0</v>
      </c>
      <c r="AI91" s="250">
        <v>0</v>
      </c>
      <c r="AJ91" s="250">
        <v>0</v>
      </c>
      <c r="AK91" s="250">
        <v>0</v>
      </c>
      <c r="AL91" s="250">
        <v>0</v>
      </c>
      <c r="AM91" s="250">
        <v>0</v>
      </c>
      <c r="AN91" s="248">
        <f t="shared" si="5"/>
        <v>0</v>
      </c>
      <c r="AO91" s="248">
        <f t="shared" si="6"/>
        <v>0</v>
      </c>
      <c r="AP91" s="248">
        <f t="shared" si="7"/>
        <v>0</v>
      </c>
      <c r="AQ91" s="248">
        <f t="shared" si="8"/>
        <v>0</v>
      </c>
      <c r="AR91" s="248">
        <f t="shared" si="9"/>
        <v>0</v>
      </c>
      <c r="AS91" s="248">
        <f t="shared" si="10"/>
        <v>0</v>
      </c>
      <c r="AT91" s="248">
        <f t="shared" si="11"/>
        <v>0</v>
      </c>
      <c r="AU91" s="250">
        <v>0</v>
      </c>
      <c r="AV91" s="250">
        <v>0</v>
      </c>
      <c r="AW91" s="250">
        <v>0</v>
      </c>
      <c r="AX91" s="250">
        <v>0</v>
      </c>
      <c r="AY91" s="250">
        <v>0</v>
      </c>
      <c r="AZ91" s="250">
        <v>0</v>
      </c>
      <c r="BA91" s="250">
        <v>0</v>
      </c>
      <c r="BB91" s="250">
        <v>0</v>
      </c>
      <c r="BC91" s="250">
        <v>0</v>
      </c>
      <c r="BD91" s="250">
        <v>0</v>
      </c>
      <c r="BE91" s="250">
        <v>0</v>
      </c>
      <c r="BF91" s="250">
        <v>0</v>
      </c>
      <c r="BG91" s="250">
        <v>0</v>
      </c>
      <c r="BH91" s="250">
        <v>0</v>
      </c>
      <c r="BI91" s="250">
        <v>0</v>
      </c>
      <c r="BJ91" s="250">
        <v>0</v>
      </c>
      <c r="BK91" s="250">
        <v>0</v>
      </c>
      <c r="BL91" s="250">
        <v>0</v>
      </c>
      <c r="BM91" s="250">
        <v>0</v>
      </c>
      <c r="BN91" s="250">
        <v>0</v>
      </c>
      <c r="BO91" s="250">
        <v>0</v>
      </c>
      <c r="BP91" s="250">
        <v>0</v>
      </c>
      <c r="BQ91" s="250">
        <v>0</v>
      </c>
      <c r="BR91" s="250">
        <v>0</v>
      </c>
      <c r="BS91" s="250">
        <v>0</v>
      </c>
      <c r="BT91" s="250">
        <v>0</v>
      </c>
      <c r="BU91" s="250">
        <v>0</v>
      </c>
      <c r="BV91" s="250">
        <v>0</v>
      </c>
      <c r="BW91" s="248">
        <f t="shared" si="13"/>
        <v>0</v>
      </c>
      <c r="BX91" s="248">
        <f t="shared" si="14"/>
        <v>0</v>
      </c>
      <c r="BY91" s="248">
        <f t="shared" si="15"/>
        <v>0</v>
      </c>
      <c r="BZ91" s="248">
        <f t="shared" si="16"/>
        <v>0</v>
      </c>
      <c r="CA91" s="248">
        <f t="shared" si="17"/>
        <v>0</v>
      </c>
      <c r="CB91" s="248">
        <f t="shared" si="18"/>
        <v>0</v>
      </c>
      <c r="CC91" s="248">
        <f t="shared" si="19"/>
        <v>0</v>
      </c>
      <c r="CD91" s="518">
        <f>'10'!T71</f>
        <v>0</v>
      </c>
    </row>
    <row r="92" spans="1:82" s="65" customFormat="1" ht="63">
      <c r="A92" s="237" t="s">
        <v>442</v>
      </c>
      <c r="B92" s="238" t="s">
        <v>931</v>
      </c>
      <c r="C92" s="202" t="s">
        <v>876</v>
      </c>
      <c r="D92" s="163" t="s">
        <v>876</v>
      </c>
      <c r="E92" s="252">
        <v>0</v>
      </c>
      <c r="F92" s="252">
        <v>0</v>
      </c>
      <c r="G92" s="252">
        <v>0</v>
      </c>
      <c r="H92" s="252">
        <v>0</v>
      </c>
      <c r="I92" s="252">
        <v>0</v>
      </c>
      <c r="J92" s="252">
        <v>0</v>
      </c>
      <c r="K92" s="252">
        <v>0</v>
      </c>
      <c r="L92" s="250">
        <v>0</v>
      </c>
      <c r="M92" s="250">
        <v>0</v>
      </c>
      <c r="N92" s="250">
        <v>0</v>
      </c>
      <c r="O92" s="250">
        <v>0</v>
      </c>
      <c r="P92" s="250">
        <v>0</v>
      </c>
      <c r="Q92" s="250">
        <v>0</v>
      </c>
      <c r="R92" s="250">
        <v>0</v>
      </c>
      <c r="S92" s="250">
        <v>0</v>
      </c>
      <c r="T92" s="250">
        <v>0</v>
      </c>
      <c r="U92" s="250">
        <v>0</v>
      </c>
      <c r="V92" s="250">
        <v>0</v>
      </c>
      <c r="W92" s="250">
        <v>0</v>
      </c>
      <c r="X92" s="250">
        <v>0</v>
      </c>
      <c r="Y92" s="250">
        <v>0</v>
      </c>
      <c r="Z92" s="250">
        <v>0</v>
      </c>
      <c r="AA92" s="250">
        <v>0</v>
      </c>
      <c r="AB92" s="250">
        <v>0</v>
      </c>
      <c r="AC92" s="250">
        <v>0</v>
      </c>
      <c r="AD92" s="250">
        <v>0</v>
      </c>
      <c r="AE92" s="250">
        <v>0</v>
      </c>
      <c r="AF92" s="250">
        <v>0</v>
      </c>
      <c r="AG92" s="250">
        <v>0</v>
      </c>
      <c r="AH92" s="250">
        <v>0</v>
      </c>
      <c r="AI92" s="250">
        <v>0</v>
      </c>
      <c r="AJ92" s="250">
        <v>0</v>
      </c>
      <c r="AK92" s="250">
        <v>0</v>
      </c>
      <c r="AL92" s="250">
        <v>0</v>
      </c>
      <c r="AM92" s="250">
        <v>0</v>
      </c>
      <c r="AN92" s="248">
        <f t="shared" si="5"/>
        <v>0</v>
      </c>
      <c r="AO92" s="248">
        <f t="shared" si="6"/>
        <v>0</v>
      </c>
      <c r="AP92" s="248">
        <f t="shared" si="7"/>
        <v>0</v>
      </c>
      <c r="AQ92" s="248">
        <f t="shared" si="8"/>
        <v>0</v>
      </c>
      <c r="AR92" s="248">
        <f t="shared" si="9"/>
        <v>0</v>
      </c>
      <c r="AS92" s="248">
        <f t="shared" si="10"/>
        <v>0</v>
      </c>
      <c r="AT92" s="248">
        <f t="shared" si="11"/>
        <v>0</v>
      </c>
      <c r="AU92" s="250">
        <v>0</v>
      </c>
      <c r="AV92" s="250">
        <v>0</v>
      </c>
      <c r="AW92" s="250">
        <v>0</v>
      </c>
      <c r="AX92" s="250">
        <v>0</v>
      </c>
      <c r="AY92" s="250">
        <v>0</v>
      </c>
      <c r="AZ92" s="250">
        <v>0</v>
      </c>
      <c r="BA92" s="250">
        <v>0</v>
      </c>
      <c r="BB92" s="250">
        <v>0</v>
      </c>
      <c r="BC92" s="250">
        <v>0</v>
      </c>
      <c r="BD92" s="250">
        <v>0</v>
      </c>
      <c r="BE92" s="250">
        <v>0</v>
      </c>
      <c r="BF92" s="250">
        <v>0</v>
      </c>
      <c r="BG92" s="250">
        <v>0</v>
      </c>
      <c r="BH92" s="250">
        <v>0</v>
      </c>
      <c r="BI92" s="250">
        <v>0</v>
      </c>
      <c r="BJ92" s="250">
        <v>0</v>
      </c>
      <c r="BK92" s="250">
        <v>0</v>
      </c>
      <c r="BL92" s="250">
        <v>0</v>
      </c>
      <c r="BM92" s="250">
        <v>0</v>
      </c>
      <c r="BN92" s="250">
        <v>0</v>
      </c>
      <c r="BO92" s="250">
        <v>0</v>
      </c>
      <c r="BP92" s="250">
        <v>0</v>
      </c>
      <c r="BQ92" s="250">
        <v>0</v>
      </c>
      <c r="BR92" s="250">
        <v>0</v>
      </c>
      <c r="BS92" s="250">
        <v>0</v>
      </c>
      <c r="BT92" s="250">
        <v>0</v>
      </c>
      <c r="BU92" s="250">
        <v>0</v>
      </c>
      <c r="BV92" s="250">
        <v>0</v>
      </c>
      <c r="BW92" s="248">
        <f t="shared" si="13"/>
        <v>0</v>
      </c>
      <c r="BX92" s="248">
        <f t="shared" si="14"/>
        <v>0</v>
      </c>
      <c r="BY92" s="248">
        <f t="shared" si="15"/>
        <v>0</v>
      </c>
      <c r="BZ92" s="248">
        <f t="shared" si="16"/>
        <v>0</v>
      </c>
      <c r="CA92" s="248">
        <f t="shared" si="17"/>
        <v>0</v>
      </c>
      <c r="CB92" s="248">
        <f t="shared" si="18"/>
        <v>0</v>
      </c>
      <c r="CC92" s="248">
        <f t="shared" si="19"/>
        <v>0</v>
      </c>
      <c r="CD92" s="518">
        <f>'10'!T72</f>
        <v>0</v>
      </c>
    </row>
    <row r="93" spans="1:82" s="65" customFormat="1" ht="78.75">
      <c r="A93" s="237" t="s">
        <v>443</v>
      </c>
      <c r="B93" s="238" t="s">
        <v>932</v>
      </c>
      <c r="C93" s="202" t="s">
        <v>876</v>
      </c>
      <c r="D93" s="163" t="s">
        <v>876</v>
      </c>
      <c r="E93" s="252">
        <v>0</v>
      </c>
      <c r="F93" s="252">
        <v>0</v>
      </c>
      <c r="G93" s="252">
        <v>0</v>
      </c>
      <c r="H93" s="252">
        <v>0</v>
      </c>
      <c r="I93" s="252">
        <v>0</v>
      </c>
      <c r="J93" s="252">
        <v>0</v>
      </c>
      <c r="K93" s="252">
        <v>0</v>
      </c>
      <c r="L93" s="250">
        <v>0</v>
      </c>
      <c r="M93" s="250">
        <v>0</v>
      </c>
      <c r="N93" s="250">
        <v>0</v>
      </c>
      <c r="O93" s="250">
        <v>0</v>
      </c>
      <c r="P93" s="250">
        <v>0</v>
      </c>
      <c r="Q93" s="250">
        <v>0</v>
      </c>
      <c r="R93" s="250">
        <v>0</v>
      </c>
      <c r="S93" s="250">
        <v>0</v>
      </c>
      <c r="T93" s="250">
        <v>0</v>
      </c>
      <c r="U93" s="250">
        <v>0</v>
      </c>
      <c r="V93" s="250">
        <v>0</v>
      </c>
      <c r="W93" s="250">
        <v>0</v>
      </c>
      <c r="X93" s="250">
        <v>0</v>
      </c>
      <c r="Y93" s="250">
        <v>0</v>
      </c>
      <c r="Z93" s="250">
        <v>0</v>
      </c>
      <c r="AA93" s="250">
        <v>0</v>
      </c>
      <c r="AB93" s="250">
        <v>0</v>
      </c>
      <c r="AC93" s="250">
        <v>0</v>
      </c>
      <c r="AD93" s="250">
        <v>0</v>
      </c>
      <c r="AE93" s="250">
        <v>0</v>
      </c>
      <c r="AF93" s="250">
        <v>0</v>
      </c>
      <c r="AG93" s="250">
        <v>0</v>
      </c>
      <c r="AH93" s="250">
        <v>0</v>
      </c>
      <c r="AI93" s="250">
        <v>0</v>
      </c>
      <c r="AJ93" s="250">
        <v>0</v>
      </c>
      <c r="AK93" s="250">
        <v>0</v>
      </c>
      <c r="AL93" s="250">
        <v>0</v>
      </c>
      <c r="AM93" s="250">
        <v>0</v>
      </c>
      <c r="AN93" s="248">
        <f t="shared" si="5"/>
        <v>0</v>
      </c>
      <c r="AO93" s="248">
        <f t="shared" si="6"/>
        <v>0</v>
      </c>
      <c r="AP93" s="248">
        <f t="shared" si="7"/>
        <v>0</v>
      </c>
      <c r="AQ93" s="248">
        <f t="shared" si="8"/>
        <v>0</v>
      </c>
      <c r="AR93" s="248">
        <f t="shared" si="9"/>
        <v>0</v>
      </c>
      <c r="AS93" s="248">
        <f t="shared" si="10"/>
        <v>0</v>
      </c>
      <c r="AT93" s="248">
        <f t="shared" si="11"/>
        <v>0</v>
      </c>
      <c r="AU93" s="250">
        <v>0</v>
      </c>
      <c r="AV93" s="250">
        <v>0</v>
      </c>
      <c r="AW93" s="250">
        <v>0</v>
      </c>
      <c r="AX93" s="250">
        <v>0</v>
      </c>
      <c r="AY93" s="250">
        <v>0</v>
      </c>
      <c r="AZ93" s="250">
        <v>0</v>
      </c>
      <c r="BA93" s="250">
        <v>0</v>
      </c>
      <c r="BB93" s="250">
        <v>0</v>
      </c>
      <c r="BC93" s="250">
        <v>0</v>
      </c>
      <c r="BD93" s="250">
        <v>0</v>
      </c>
      <c r="BE93" s="250">
        <v>0</v>
      </c>
      <c r="BF93" s="250">
        <v>0</v>
      </c>
      <c r="BG93" s="250">
        <v>0</v>
      </c>
      <c r="BH93" s="250">
        <v>0</v>
      </c>
      <c r="BI93" s="250">
        <v>0</v>
      </c>
      <c r="BJ93" s="250">
        <v>0</v>
      </c>
      <c r="BK93" s="250">
        <v>0</v>
      </c>
      <c r="BL93" s="250">
        <v>0</v>
      </c>
      <c r="BM93" s="250">
        <v>0</v>
      </c>
      <c r="BN93" s="250">
        <v>0</v>
      </c>
      <c r="BO93" s="250">
        <v>0</v>
      </c>
      <c r="BP93" s="250">
        <v>0</v>
      </c>
      <c r="BQ93" s="250">
        <v>0</v>
      </c>
      <c r="BR93" s="250">
        <v>0</v>
      </c>
      <c r="BS93" s="250">
        <v>0</v>
      </c>
      <c r="BT93" s="250">
        <v>0</v>
      </c>
      <c r="BU93" s="250">
        <v>0</v>
      </c>
      <c r="BV93" s="250">
        <v>0</v>
      </c>
      <c r="BW93" s="248">
        <f t="shared" si="13"/>
        <v>0</v>
      </c>
      <c r="BX93" s="248">
        <f t="shared" si="14"/>
        <v>0</v>
      </c>
      <c r="BY93" s="248">
        <f t="shared" si="15"/>
        <v>0</v>
      </c>
      <c r="BZ93" s="248">
        <f t="shared" si="16"/>
        <v>0</v>
      </c>
      <c r="CA93" s="248">
        <f t="shared" si="17"/>
        <v>0</v>
      </c>
      <c r="CB93" s="248">
        <f t="shared" si="18"/>
        <v>0</v>
      </c>
      <c r="CC93" s="248">
        <f t="shared" si="19"/>
        <v>0</v>
      </c>
      <c r="CD93" s="518">
        <f>'10'!T73</f>
        <v>0</v>
      </c>
    </row>
    <row r="94" spans="1:82" s="65" customFormat="1" ht="78.75">
      <c r="A94" s="237" t="s">
        <v>444</v>
      </c>
      <c r="B94" s="238" t="s">
        <v>933</v>
      </c>
      <c r="C94" s="202" t="s">
        <v>876</v>
      </c>
      <c r="D94" s="163" t="s">
        <v>876</v>
      </c>
      <c r="E94" s="252">
        <v>0</v>
      </c>
      <c r="F94" s="252">
        <v>0</v>
      </c>
      <c r="G94" s="252">
        <v>0</v>
      </c>
      <c r="H94" s="252">
        <v>0</v>
      </c>
      <c r="I94" s="252">
        <v>0</v>
      </c>
      <c r="J94" s="252">
        <v>0</v>
      </c>
      <c r="K94" s="252">
        <v>0</v>
      </c>
      <c r="L94" s="250">
        <v>0</v>
      </c>
      <c r="M94" s="250">
        <v>0</v>
      </c>
      <c r="N94" s="250">
        <v>0</v>
      </c>
      <c r="O94" s="250">
        <v>0</v>
      </c>
      <c r="P94" s="250">
        <v>0</v>
      </c>
      <c r="Q94" s="250">
        <v>0</v>
      </c>
      <c r="R94" s="250">
        <v>0</v>
      </c>
      <c r="S94" s="250">
        <v>0</v>
      </c>
      <c r="T94" s="250">
        <v>0</v>
      </c>
      <c r="U94" s="250">
        <v>0</v>
      </c>
      <c r="V94" s="250">
        <v>0</v>
      </c>
      <c r="W94" s="250">
        <v>0</v>
      </c>
      <c r="X94" s="250">
        <v>0</v>
      </c>
      <c r="Y94" s="250">
        <v>0</v>
      </c>
      <c r="Z94" s="250">
        <v>0</v>
      </c>
      <c r="AA94" s="250">
        <v>0</v>
      </c>
      <c r="AB94" s="250">
        <v>0</v>
      </c>
      <c r="AC94" s="250">
        <v>0</v>
      </c>
      <c r="AD94" s="250">
        <v>0</v>
      </c>
      <c r="AE94" s="250">
        <v>0</v>
      </c>
      <c r="AF94" s="250">
        <v>0</v>
      </c>
      <c r="AG94" s="250">
        <v>0</v>
      </c>
      <c r="AH94" s="250">
        <v>0</v>
      </c>
      <c r="AI94" s="250">
        <v>0</v>
      </c>
      <c r="AJ94" s="250">
        <v>0</v>
      </c>
      <c r="AK94" s="250">
        <v>0</v>
      </c>
      <c r="AL94" s="250">
        <v>0</v>
      </c>
      <c r="AM94" s="250">
        <v>0</v>
      </c>
      <c r="AN94" s="248">
        <f t="shared" si="5"/>
        <v>0</v>
      </c>
      <c r="AO94" s="248">
        <f t="shared" si="6"/>
        <v>0</v>
      </c>
      <c r="AP94" s="248">
        <f t="shared" si="7"/>
        <v>0</v>
      </c>
      <c r="AQ94" s="248">
        <f t="shared" si="8"/>
        <v>0</v>
      </c>
      <c r="AR94" s="248">
        <f t="shared" si="9"/>
        <v>0</v>
      </c>
      <c r="AS94" s="248">
        <f t="shared" si="10"/>
        <v>0</v>
      </c>
      <c r="AT94" s="248">
        <f t="shared" si="11"/>
        <v>0</v>
      </c>
      <c r="AU94" s="250">
        <v>0</v>
      </c>
      <c r="AV94" s="250">
        <v>0</v>
      </c>
      <c r="AW94" s="250">
        <v>0</v>
      </c>
      <c r="AX94" s="250">
        <v>0</v>
      </c>
      <c r="AY94" s="250">
        <v>0</v>
      </c>
      <c r="AZ94" s="250">
        <v>0</v>
      </c>
      <c r="BA94" s="250">
        <v>0</v>
      </c>
      <c r="BB94" s="250">
        <v>0</v>
      </c>
      <c r="BC94" s="250">
        <v>0</v>
      </c>
      <c r="BD94" s="250">
        <v>0</v>
      </c>
      <c r="BE94" s="250">
        <v>0</v>
      </c>
      <c r="BF94" s="250">
        <v>0</v>
      </c>
      <c r="BG94" s="250">
        <v>0</v>
      </c>
      <c r="BH94" s="250">
        <v>0</v>
      </c>
      <c r="BI94" s="250">
        <v>0</v>
      </c>
      <c r="BJ94" s="250">
        <v>0</v>
      </c>
      <c r="BK94" s="250">
        <v>0</v>
      </c>
      <c r="BL94" s="250">
        <v>0</v>
      </c>
      <c r="BM94" s="250">
        <v>0</v>
      </c>
      <c r="BN94" s="250">
        <v>0</v>
      </c>
      <c r="BO94" s="250">
        <v>0</v>
      </c>
      <c r="BP94" s="250">
        <v>0</v>
      </c>
      <c r="BQ94" s="250">
        <v>0</v>
      </c>
      <c r="BR94" s="250">
        <v>0</v>
      </c>
      <c r="BS94" s="250">
        <v>0</v>
      </c>
      <c r="BT94" s="250">
        <v>0</v>
      </c>
      <c r="BU94" s="250">
        <v>0</v>
      </c>
      <c r="BV94" s="250">
        <v>0</v>
      </c>
      <c r="BW94" s="248">
        <f t="shared" si="13"/>
        <v>0</v>
      </c>
      <c r="BX94" s="248">
        <f t="shared" si="14"/>
        <v>0</v>
      </c>
      <c r="BY94" s="248">
        <f t="shared" si="15"/>
        <v>0</v>
      </c>
      <c r="BZ94" s="248">
        <f t="shared" si="16"/>
        <v>0</v>
      </c>
      <c r="CA94" s="248">
        <f t="shared" si="17"/>
        <v>0</v>
      </c>
      <c r="CB94" s="248">
        <f t="shared" si="18"/>
        <v>0</v>
      </c>
      <c r="CC94" s="248">
        <f t="shared" si="19"/>
        <v>0</v>
      </c>
      <c r="CD94" s="518">
        <f>'10'!T74</f>
        <v>0</v>
      </c>
    </row>
    <row r="95" spans="1:82" s="65" customFormat="1" ht="78.75">
      <c r="A95" s="237" t="s">
        <v>445</v>
      </c>
      <c r="B95" s="238" t="s">
        <v>934</v>
      </c>
      <c r="C95" s="202" t="s">
        <v>876</v>
      </c>
      <c r="D95" s="163" t="s">
        <v>876</v>
      </c>
      <c r="E95" s="252">
        <v>0</v>
      </c>
      <c r="F95" s="252">
        <v>0</v>
      </c>
      <c r="G95" s="252">
        <v>0</v>
      </c>
      <c r="H95" s="252">
        <v>0</v>
      </c>
      <c r="I95" s="252">
        <v>0</v>
      </c>
      <c r="J95" s="252">
        <v>0</v>
      </c>
      <c r="K95" s="252">
        <v>0</v>
      </c>
      <c r="L95" s="250">
        <v>0</v>
      </c>
      <c r="M95" s="250">
        <v>0</v>
      </c>
      <c r="N95" s="250">
        <v>0</v>
      </c>
      <c r="O95" s="250">
        <v>0</v>
      </c>
      <c r="P95" s="250">
        <v>0</v>
      </c>
      <c r="Q95" s="250">
        <v>0</v>
      </c>
      <c r="R95" s="250">
        <v>0</v>
      </c>
      <c r="S95" s="250">
        <v>0</v>
      </c>
      <c r="T95" s="250">
        <v>0</v>
      </c>
      <c r="U95" s="250">
        <v>0</v>
      </c>
      <c r="V95" s="250">
        <v>0</v>
      </c>
      <c r="W95" s="250">
        <v>0</v>
      </c>
      <c r="X95" s="250">
        <v>0</v>
      </c>
      <c r="Y95" s="250">
        <v>0</v>
      </c>
      <c r="Z95" s="250">
        <v>0</v>
      </c>
      <c r="AA95" s="250">
        <v>0</v>
      </c>
      <c r="AB95" s="250">
        <v>0</v>
      </c>
      <c r="AC95" s="250">
        <v>0</v>
      </c>
      <c r="AD95" s="250">
        <v>0</v>
      </c>
      <c r="AE95" s="250">
        <v>0</v>
      </c>
      <c r="AF95" s="250">
        <v>0</v>
      </c>
      <c r="AG95" s="250">
        <v>0</v>
      </c>
      <c r="AH95" s="250">
        <v>0</v>
      </c>
      <c r="AI95" s="250">
        <v>0</v>
      </c>
      <c r="AJ95" s="250">
        <v>0</v>
      </c>
      <c r="AK95" s="250">
        <v>0</v>
      </c>
      <c r="AL95" s="250">
        <v>0</v>
      </c>
      <c r="AM95" s="250">
        <v>0</v>
      </c>
      <c r="AN95" s="248">
        <f t="shared" si="5"/>
        <v>0</v>
      </c>
      <c r="AO95" s="248">
        <f t="shared" si="6"/>
        <v>0</v>
      </c>
      <c r="AP95" s="248">
        <f t="shared" si="7"/>
        <v>0</v>
      </c>
      <c r="AQ95" s="248">
        <f t="shared" si="8"/>
        <v>0</v>
      </c>
      <c r="AR95" s="248">
        <f t="shared" si="9"/>
        <v>0</v>
      </c>
      <c r="AS95" s="248">
        <f t="shared" si="10"/>
        <v>0</v>
      </c>
      <c r="AT95" s="248">
        <f t="shared" si="11"/>
        <v>0</v>
      </c>
      <c r="AU95" s="250">
        <v>0</v>
      </c>
      <c r="AV95" s="250">
        <v>0</v>
      </c>
      <c r="AW95" s="250">
        <v>0</v>
      </c>
      <c r="AX95" s="250">
        <v>0</v>
      </c>
      <c r="AY95" s="250">
        <v>0</v>
      </c>
      <c r="AZ95" s="250">
        <v>0</v>
      </c>
      <c r="BA95" s="250">
        <v>0</v>
      </c>
      <c r="BB95" s="250">
        <v>0</v>
      </c>
      <c r="BC95" s="250">
        <v>0</v>
      </c>
      <c r="BD95" s="250">
        <v>0</v>
      </c>
      <c r="BE95" s="250">
        <v>0</v>
      </c>
      <c r="BF95" s="250">
        <v>0</v>
      </c>
      <c r="BG95" s="250">
        <v>0</v>
      </c>
      <c r="BH95" s="250">
        <v>0</v>
      </c>
      <c r="BI95" s="250">
        <v>0</v>
      </c>
      <c r="BJ95" s="250">
        <v>0</v>
      </c>
      <c r="BK95" s="250">
        <v>0</v>
      </c>
      <c r="BL95" s="250">
        <v>0</v>
      </c>
      <c r="BM95" s="250">
        <v>0</v>
      </c>
      <c r="BN95" s="250">
        <v>0</v>
      </c>
      <c r="BO95" s="250">
        <v>0</v>
      </c>
      <c r="BP95" s="250">
        <v>0</v>
      </c>
      <c r="BQ95" s="250">
        <v>0</v>
      </c>
      <c r="BR95" s="250">
        <v>0</v>
      </c>
      <c r="BS95" s="250">
        <v>0</v>
      </c>
      <c r="BT95" s="250">
        <v>0</v>
      </c>
      <c r="BU95" s="250">
        <v>0</v>
      </c>
      <c r="BV95" s="250">
        <v>0</v>
      </c>
      <c r="BW95" s="248">
        <f t="shared" si="13"/>
        <v>0</v>
      </c>
      <c r="BX95" s="248">
        <f t="shared" si="14"/>
        <v>0</v>
      </c>
      <c r="BY95" s="248">
        <f t="shared" si="15"/>
        <v>0</v>
      </c>
      <c r="BZ95" s="248">
        <f t="shared" si="16"/>
        <v>0</v>
      </c>
      <c r="CA95" s="248">
        <f t="shared" si="17"/>
        <v>0</v>
      </c>
      <c r="CB95" s="248">
        <f t="shared" si="18"/>
        <v>0</v>
      </c>
      <c r="CC95" s="248">
        <f t="shared" si="19"/>
        <v>0</v>
      </c>
      <c r="CD95" s="518">
        <f>'10'!T75</f>
        <v>0</v>
      </c>
    </row>
    <row r="96" spans="1:82" s="65" customFormat="1" ht="78.75">
      <c r="A96" s="237" t="s">
        <v>935</v>
      </c>
      <c r="B96" s="238" t="s">
        <v>936</v>
      </c>
      <c r="C96" s="202" t="s">
        <v>876</v>
      </c>
      <c r="D96" s="163" t="s">
        <v>876</v>
      </c>
      <c r="E96" s="252">
        <v>0</v>
      </c>
      <c r="F96" s="252">
        <v>0</v>
      </c>
      <c r="G96" s="252">
        <v>0</v>
      </c>
      <c r="H96" s="252">
        <v>0</v>
      </c>
      <c r="I96" s="252">
        <v>0</v>
      </c>
      <c r="J96" s="252">
        <v>0</v>
      </c>
      <c r="K96" s="252">
        <v>0</v>
      </c>
      <c r="L96" s="250">
        <v>0</v>
      </c>
      <c r="M96" s="250">
        <v>0</v>
      </c>
      <c r="N96" s="250">
        <v>0</v>
      </c>
      <c r="O96" s="250">
        <v>0</v>
      </c>
      <c r="P96" s="250">
        <v>0</v>
      </c>
      <c r="Q96" s="250">
        <v>0</v>
      </c>
      <c r="R96" s="250">
        <v>0</v>
      </c>
      <c r="S96" s="250">
        <v>0</v>
      </c>
      <c r="T96" s="250">
        <v>0</v>
      </c>
      <c r="U96" s="250">
        <v>0</v>
      </c>
      <c r="V96" s="250">
        <v>0</v>
      </c>
      <c r="W96" s="250">
        <v>0</v>
      </c>
      <c r="X96" s="250">
        <v>0</v>
      </c>
      <c r="Y96" s="250">
        <v>0</v>
      </c>
      <c r="Z96" s="250">
        <v>0</v>
      </c>
      <c r="AA96" s="250">
        <v>0</v>
      </c>
      <c r="AB96" s="250">
        <v>0</v>
      </c>
      <c r="AC96" s="250">
        <v>0</v>
      </c>
      <c r="AD96" s="250">
        <v>0</v>
      </c>
      <c r="AE96" s="250">
        <v>0</v>
      </c>
      <c r="AF96" s="250">
        <v>0</v>
      </c>
      <c r="AG96" s="250">
        <v>0</v>
      </c>
      <c r="AH96" s="250">
        <v>0</v>
      </c>
      <c r="AI96" s="250">
        <v>0</v>
      </c>
      <c r="AJ96" s="250">
        <v>0</v>
      </c>
      <c r="AK96" s="250">
        <v>0</v>
      </c>
      <c r="AL96" s="250">
        <v>0</v>
      </c>
      <c r="AM96" s="250">
        <v>0</v>
      </c>
      <c r="AN96" s="248">
        <f t="shared" si="5"/>
        <v>0</v>
      </c>
      <c r="AO96" s="248">
        <f t="shared" si="6"/>
        <v>0</v>
      </c>
      <c r="AP96" s="248">
        <f t="shared" si="7"/>
        <v>0</v>
      </c>
      <c r="AQ96" s="248">
        <f t="shared" si="8"/>
        <v>0</v>
      </c>
      <c r="AR96" s="248">
        <f t="shared" si="9"/>
        <v>0</v>
      </c>
      <c r="AS96" s="248">
        <f t="shared" si="10"/>
        <v>0</v>
      </c>
      <c r="AT96" s="248">
        <f t="shared" si="11"/>
        <v>0</v>
      </c>
      <c r="AU96" s="250">
        <v>0</v>
      </c>
      <c r="AV96" s="250">
        <v>0</v>
      </c>
      <c r="AW96" s="250">
        <v>0</v>
      </c>
      <c r="AX96" s="250">
        <v>0</v>
      </c>
      <c r="AY96" s="250">
        <v>0</v>
      </c>
      <c r="AZ96" s="250">
        <v>0</v>
      </c>
      <c r="BA96" s="250">
        <v>0</v>
      </c>
      <c r="BB96" s="250">
        <v>0</v>
      </c>
      <c r="BC96" s="250">
        <v>0</v>
      </c>
      <c r="BD96" s="250">
        <v>0</v>
      </c>
      <c r="BE96" s="250">
        <v>0</v>
      </c>
      <c r="BF96" s="250">
        <v>0</v>
      </c>
      <c r="BG96" s="250">
        <v>0</v>
      </c>
      <c r="BH96" s="250">
        <v>0</v>
      </c>
      <c r="BI96" s="250">
        <v>0</v>
      </c>
      <c r="BJ96" s="250">
        <v>0</v>
      </c>
      <c r="BK96" s="250">
        <v>0</v>
      </c>
      <c r="BL96" s="250">
        <v>0</v>
      </c>
      <c r="BM96" s="250">
        <v>0</v>
      </c>
      <c r="BN96" s="250">
        <v>0</v>
      </c>
      <c r="BO96" s="250">
        <v>0</v>
      </c>
      <c r="BP96" s="250">
        <v>0</v>
      </c>
      <c r="BQ96" s="250">
        <v>0</v>
      </c>
      <c r="BR96" s="250">
        <v>0</v>
      </c>
      <c r="BS96" s="250">
        <v>0</v>
      </c>
      <c r="BT96" s="250">
        <v>0</v>
      </c>
      <c r="BU96" s="250">
        <v>0</v>
      </c>
      <c r="BV96" s="250">
        <v>0</v>
      </c>
      <c r="BW96" s="248">
        <f t="shared" si="13"/>
        <v>0</v>
      </c>
      <c r="BX96" s="248">
        <f t="shared" si="14"/>
        <v>0</v>
      </c>
      <c r="BY96" s="248">
        <f t="shared" si="15"/>
        <v>0</v>
      </c>
      <c r="BZ96" s="248">
        <f t="shared" si="16"/>
        <v>0</v>
      </c>
      <c r="CA96" s="248">
        <f t="shared" si="17"/>
        <v>0</v>
      </c>
      <c r="CB96" s="248">
        <f t="shared" si="18"/>
        <v>0</v>
      </c>
      <c r="CC96" s="248">
        <f t="shared" si="19"/>
        <v>0</v>
      </c>
      <c r="CD96" s="518">
        <f>'10'!T76</f>
        <v>0</v>
      </c>
    </row>
    <row r="97" spans="1:82" s="65" customFormat="1" ht="78.75">
      <c r="A97" s="239" t="s">
        <v>937</v>
      </c>
      <c r="B97" s="238" t="s">
        <v>938</v>
      </c>
      <c r="C97" s="202" t="s">
        <v>876</v>
      </c>
      <c r="D97" s="163" t="s">
        <v>876</v>
      </c>
      <c r="E97" s="249">
        <v>0</v>
      </c>
      <c r="F97" s="249">
        <v>0</v>
      </c>
      <c r="G97" s="249">
        <v>0</v>
      </c>
      <c r="H97" s="249">
        <v>0</v>
      </c>
      <c r="I97" s="249">
        <v>0</v>
      </c>
      <c r="J97" s="249">
        <v>0</v>
      </c>
      <c r="K97" s="249">
        <v>0</v>
      </c>
      <c r="L97" s="250">
        <f t="shared" ref="L97:AM97" si="107">L98+L99</f>
        <v>0</v>
      </c>
      <c r="M97" s="250">
        <f t="shared" si="107"/>
        <v>0</v>
      </c>
      <c r="N97" s="250">
        <f t="shared" si="107"/>
        <v>0</v>
      </c>
      <c r="O97" s="250">
        <f t="shared" si="107"/>
        <v>0</v>
      </c>
      <c r="P97" s="250">
        <f t="shared" si="107"/>
        <v>0</v>
      </c>
      <c r="Q97" s="250">
        <f t="shared" si="107"/>
        <v>0</v>
      </c>
      <c r="R97" s="250">
        <f t="shared" si="107"/>
        <v>0</v>
      </c>
      <c r="S97" s="250">
        <f t="shared" si="107"/>
        <v>0</v>
      </c>
      <c r="T97" s="250">
        <f t="shared" si="107"/>
        <v>0</v>
      </c>
      <c r="U97" s="250">
        <f t="shared" si="107"/>
        <v>0</v>
      </c>
      <c r="V97" s="250">
        <f t="shared" si="107"/>
        <v>0</v>
      </c>
      <c r="W97" s="250">
        <f t="shared" si="107"/>
        <v>0</v>
      </c>
      <c r="X97" s="250">
        <f t="shared" si="107"/>
        <v>0</v>
      </c>
      <c r="Y97" s="250">
        <f t="shared" si="107"/>
        <v>0</v>
      </c>
      <c r="Z97" s="250">
        <f t="shared" si="107"/>
        <v>0</v>
      </c>
      <c r="AA97" s="250">
        <f t="shared" si="107"/>
        <v>0</v>
      </c>
      <c r="AB97" s="250">
        <f t="shared" si="107"/>
        <v>0</v>
      </c>
      <c r="AC97" s="250">
        <f t="shared" si="107"/>
        <v>0</v>
      </c>
      <c r="AD97" s="250">
        <f t="shared" si="107"/>
        <v>0</v>
      </c>
      <c r="AE97" s="250">
        <f t="shared" si="107"/>
        <v>0</v>
      </c>
      <c r="AF97" s="250">
        <f t="shared" si="107"/>
        <v>0</v>
      </c>
      <c r="AG97" s="250">
        <f t="shared" si="107"/>
        <v>0</v>
      </c>
      <c r="AH97" s="250">
        <f t="shared" si="107"/>
        <v>0</v>
      </c>
      <c r="AI97" s="250">
        <f t="shared" si="107"/>
        <v>0</v>
      </c>
      <c r="AJ97" s="250">
        <f t="shared" si="107"/>
        <v>0</v>
      </c>
      <c r="AK97" s="250">
        <f t="shared" si="107"/>
        <v>0</v>
      </c>
      <c r="AL97" s="250">
        <f t="shared" si="107"/>
        <v>0</v>
      </c>
      <c r="AM97" s="250">
        <f t="shared" si="107"/>
        <v>0</v>
      </c>
      <c r="AN97" s="248">
        <f t="shared" si="5"/>
        <v>0</v>
      </c>
      <c r="AO97" s="248">
        <f t="shared" si="6"/>
        <v>0</v>
      </c>
      <c r="AP97" s="248">
        <f t="shared" si="7"/>
        <v>0</v>
      </c>
      <c r="AQ97" s="248">
        <f t="shared" si="8"/>
        <v>0</v>
      </c>
      <c r="AR97" s="248">
        <f t="shared" si="9"/>
        <v>0</v>
      </c>
      <c r="AS97" s="248">
        <f t="shared" si="10"/>
        <v>0</v>
      </c>
      <c r="AT97" s="248">
        <f t="shared" si="11"/>
        <v>0</v>
      </c>
      <c r="AU97" s="250">
        <f t="shared" ref="AU97:BV97" si="108">AU98+AU99</f>
        <v>0</v>
      </c>
      <c r="AV97" s="250">
        <f t="shared" si="108"/>
        <v>0</v>
      </c>
      <c r="AW97" s="250">
        <f t="shared" si="108"/>
        <v>0</v>
      </c>
      <c r="AX97" s="250">
        <f t="shared" si="108"/>
        <v>0</v>
      </c>
      <c r="AY97" s="250">
        <f t="shared" si="108"/>
        <v>0</v>
      </c>
      <c r="AZ97" s="250">
        <f t="shared" si="108"/>
        <v>0</v>
      </c>
      <c r="BA97" s="250">
        <f t="shared" si="108"/>
        <v>0</v>
      </c>
      <c r="BB97" s="250">
        <f t="shared" si="108"/>
        <v>0</v>
      </c>
      <c r="BC97" s="250">
        <f t="shared" si="108"/>
        <v>0</v>
      </c>
      <c r="BD97" s="250">
        <f t="shared" si="108"/>
        <v>0</v>
      </c>
      <c r="BE97" s="250">
        <f t="shared" si="108"/>
        <v>0</v>
      </c>
      <c r="BF97" s="250">
        <f t="shared" si="108"/>
        <v>0</v>
      </c>
      <c r="BG97" s="250">
        <f t="shared" si="108"/>
        <v>0</v>
      </c>
      <c r="BH97" s="250">
        <f t="shared" si="108"/>
        <v>0</v>
      </c>
      <c r="BI97" s="250">
        <f t="shared" si="108"/>
        <v>0</v>
      </c>
      <c r="BJ97" s="250">
        <f t="shared" si="108"/>
        <v>0</v>
      </c>
      <c r="BK97" s="250">
        <f t="shared" si="108"/>
        <v>0</v>
      </c>
      <c r="BL97" s="250">
        <f t="shared" si="108"/>
        <v>0</v>
      </c>
      <c r="BM97" s="250">
        <f t="shared" si="108"/>
        <v>0</v>
      </c>
      <c r="BN97" s="250">
        <f t="shared" si="108"/>
        <v>0</v>
      </c>
      <c r="BO97" s="250">
        <f t="shared" si="108"/>
        <v>0</v>
      </c>
      <c r="BP97" s="250">
        <f t="shared" si="108"/>
        <v>0</v>
      </c>
      <c r="BQ97" s="250">
        <f t="shared" si="108"/>
        <v>0</v>
      </c>
      <c r="BR97" s="250">
        <f t="shared" si="108"/>
        <v>0</v>
      </c>
      <c r="BS97" s="250">
        <f t="shared" si="108"/>
        <v>0</v>
      </c>
      <c r="BT97" s="250">
        <f t="shared" si="108"/>
        <v>0</v>
      </c>
      <c r="BU97" s="250">
        <f t="shared" si="108"/>
        <v>0</v>
      </c>
      <c r="BV97" s="250">
        <f t="shared" si="108"/>
        <v>0</v>
      </c>
      <c r="BW97" s="248">
        <f t="shared" si="13"/>
        <v>0</v>
      </c>
      <c r="BX97" s="248">
        <f t="shared" si="14"/>
        <v>0</v>
      </c>
      <c r="BY97" s="248">
        <f t="shared" si="15"/>
        <v>0</v>
      </c>
      <c r="BZ97" s="248">
        <f t="shared" si="16"/>
        <v>0</v>
      </c>
      <c r="CA97" s="248">
        <f t="shared" si="17"/>
        <v>0</v>
      </c>
      <c r="CB97" s="248">
        <f t="shared" si="18"/>
        <v>0</v>
      </c>
      <c r="CC97" s="248">
        <f t="shared" si="19"/>
        <v>0</v>
      </c>
      <c r="CD97" s="518">
        <f>'10'!T77</f>
        <v>0</v>
      </c>
    </row>
    <row r="98" spans="1:82" s="65" customFormat="1" ht="47.25">
      <c r="A98" s="237" t="s">
        <v>939</v>
      </c>
      <c r="B98" s="238" t="s">
        <v>940</v>
      </c>
      <c r="C98" s="198" t="s">
        <v>876</v>
      </c>
      <c r="D98" s="163" t="s">
        <v>876</v>
      </c>
      <c r="E98" s="249">
        <v>0</v>
      </c>
      <c r="F98" s="249">
        <v>0</v>
      </c>
      <c r="G98" s="249">
        <v>0</v>
      </c>
      <c r="H98" s="249">
        <v>0</v>
      </c>
      <c r="I98" s="249">
        <v>0</v>
      </c>
      <c r="J98" s="249">
        <v>0</v>
      </c>
      <c r="K98" s="249">
        <v>0</v>
      </c>
      <c r="L98" s="250">
        <v>0</v>
      </c>
      <c r="M98" s="250">
        <v>0</v>
      </c>
      <c r="N98" s="250">
        <v>0</v>
      </c>
      <c r="O98" s="250">
        <v>0</v>
      </c>
      <c r="P98" s="250">
        <v>0</v>
      </c>
      <c r="Q98" s="250">
        <v>0</v>
      </c>
      <c r="R98" s="250">
        <v>0</v>
      </c>
      <c r="S98" s="250">
        <v>0</v>
      </c>
      <c r="T98" s="250">
        <v>0</v>
      </c>
      <c r="U98" s="250">
        <v>0</v>
      </c>
      <c r="V98" s="250">
        <v>0</v>
      </c>
      <c r="W98" s="250">
        <v>0</v>
      </c>
      <c r="X98" s="250">
        <v>0</v>
      </c>
      <c r="Y98" s="250">
        <v>0</v>
      </c>
      <c r="Z98" s="250">
        <v>0</v>
      </c>
      <c r="AA98" s="250">
        <v>0</v>
      </c>
      <c r="AB98" s="250">
        <v>0</v>
      </c>
      <c r="AC98" s="250">
        <v>0</v>
      </c>
      <c r="AD98" s="250">
        <v>0</v>
      </c>
      <c r="AE98" s="250">
        <v>0</v>
      </c>
      <c r="AF98" s="250">
        <v>0</v>
      </c>
      <c r="AG98" s="250">
        <v>0</v>
      </c>
      <c r="AH98" s="250">
        <v>0</v>
      </c>
      <c r="AI98" s="250">
        <v>0</v>
      </c>
      <c r="AJ98" s="250">
        <v>0</v>
      </c>
      <c r="AK98" s="250">
        <v>0</v>
      </c>
      <c r="AL98" s="250">
        <v>0</v>
      </c>
      <c r="AM98" s="250">
        <v>0</v>
      </c>
      <c r="AN98" s="248">
        <f t="shared" si="5"/>
        <v>0</v>
      </c>
      <c r="AO98" s="248">
        <f t="shared" si="6"/>
        <v>0</v>
      </c>
      <c r="AP98" s="248">
        <f t="shared" si="7"/>
        <v>0</v>
      </c>
      <c r="AQ98" s="248">
        <f t="shared" si="8"/>
        <v>0</v>
      </c>
      <c r="AR98" s="248">
        <f t="shared" si="9"/>
        <v>0</v>
      </c>
      <c r="AS98" s="248">
        <f t="shared" si="10"/>
        <v>0</v>
      </c>
      <c r="AT98" s="248">
        <f t="shared" si="11"/>
        <v>0</v>
      </c>
      <c r="AU98" s="250">
        <v>0</v>
      </c>
      <c r="AV98" s="250">
        <v>0</v>
      </c>
      <c r="AW98" s="250">
        <v>0</v>
      </c>
      <c r="AX98" s="250">
        <v>0</v>
      </c>
      <c r="AY98" s="250">
        <v>0</v>
      </c>
      <c r="AZ98" s="250">
        <v>0</v>
      </c>
      <c r="BA98" s="250">
        <v>0</v>
      </c>
      <c r="BB98" s="250">
        <v>0</v>
      </c>
      <c r="BC98" s="250">
        <v>0</v>
      </c>
      <c r="BD98" s="250">
        <v>0</v>
      </c>
      <c r="BE98" s="250">
        <v>0</v>
      </c>
      <c r="BF98" s="250">
        <v>0</v>
      </c>
      <c r="BG98" s="250">
        <v>0</v>
      </c>
      <c r="BH98" s="250">
        <v>0</v>
      </c>
      <c r="BI98" s="250">
        <v>0</v>
      </c>
      <c r="BJ98" s="250">
        <v>0</v>
      </c>
      <c r="BK98" s="250">
        <v>0</v>
      </c>
      <c r="BL98" s="250">
        <v>0</v>
      </c>
      <c r="BM98" s="250">
        <v>0</v>
      </c>
      <c r="BN98" s="250">
        <v>0</v>
      </c>
      <c r="BO98" s="250">
        <v>0</v>
      </c>
      <c r="BP98" s="250">
        <v>0</v>
      </c>
      <c r="BQ98" s="250">
        <v>0</v>
      </c>
      <c r="BR98" s="250">
        <v>0</v>
      </c>
      <c r="BS98" s="250">
        <v>0</v>
      </c>
      <c r="BT98" s="250">
        <v>0</v>
      </c>
      <c r="BU98" s="250">
        <v>0</v>
      </c>
      <c r="BV98" s="250">
        <v>0</v>
      </c>
      <c r="BW98" s="248">
        <f t="shared" si="13"/>
        <v>0</v>
      </c>
      <c r="BX98" s="248">
        <f t="shared" si="14"/>
        <v>0</v>
      </c>
      <c r="BY98" s="248">
        <f t="shared" si="15"/>
        <v>0</v>
      </c>
      <c r="BZ98" s="248">
        <f t="shared" si="16"/>
        <v>0</v>
      </c>
      <c r="CA98" s="248">
        <f t="shared" si="17"/>
        <v>0</v>
      </c>
      <c r="CB98" s="248">
        <f t="shared" si="18"/>
        <v>0</v>
      </c>
      <c r="CC98" s="248">
        <f t="shared" si="19"/>
        <v>0</v>
      </c>
      <c r="CD98" s="518">
        <f>'10'!T78</f>
        <v>0</v>
      </c>
    </row>
    <row r="99" spans="1:82" s="65" customFormat="1" ht="78.75">
      <c r="A99" s="237" t="s">
        <v>941</v>
      </c>
      <c r="B99" s="238" t="s">
        <v>942</v>
      </c>
      <c r="C99" s="202" t="s">
        <v>876</v>
      </c>
      <c r="D99" s="163" t="s">
        <v>876</v>
      </c>
      <c r="E99" s="252">
        <v>0</v>
      </c>
      <c r="F99" s="252">
        <v>0</v>
      </c>
      <c r="G99" s="252">
        <v>0</v>
      </c>
      <c r="H99" s="252">
        <v>0</v>
      </c>
      <c r="I99" s="252">
        <v>0</v>
      </c>
      <c r="J99" s="252">
        <v>0</v>
      </c>
      <c r="K99" s="252">
        <v>0</v>
      </c>
      <c r="L99" s="250">
        <v>0</v>
      </c>
      <c r="M99" s="250">
        <v>0</v>
      </c>
      <c r="N99" s="250">
        <v>0</v>
      </c>
      <c r="O99" s="250">
        <v>0</v>
      </c>
      <c r="P99" s="250">
        <v>0</v>
      </c>
      <c r="Q99" s="250">
        <v>0</v>
      </c>
      <c r="R99" s="250">
        <v>0</v>
      </c>
      <c r="S99" s="250">
        <v>0</v>
      </c>
      <c r="T99" s="250">
        <v>0</v>
      </c>
      <c r="U99" s="250">
        <v>0</v>
      </c>
      <c r="V99" s="250">
        <v>0</v>
      </c>
      <c r="W99" s="250">
        <v>0</v>
      </c>
      <c r="X99" s="250">
        <v>0</v>
      </c>
      <c r="Y99" s="250">
        <v>0</v>
      </c>
      <c r="Z99" s="250">
        <v>0</v>
      </c>
      <c r="AA99" s="250">
        <v>0</v>
      </c>
      <c r="AB99" s="250">
        <v>0</v>
      </c>
      <c r="AC99" s="250">
        <v>0</v>
      </c>
      <c r="AD99" s="250">
        <v>0</v>
      </c>
      <c r="AE99" s="250">
        <v>0</v>
      </c>
      <c r="AF99" s="250">
        <v>0</v>
      </c>
      <c r="AG99" s="250">
        <v>0</v>
      </c>
      <c r="AH99" s="250">
        <v>0</v>
      </c>
      <c r="AI99" s="250">
        <v>0</v>
      </c>
      <c r="AJ99" s="250">
        <v>0</v>
      </c>
      <c r="AK99" s="250">
        <v>0</v>
      </c>
      <c r="AL99" s="250">
        <v>0</v>
      </c>
      <c r="AM99" s="250">
        <v>0</v>
      </c>
      <c r="AN99" s="248">
        <f t="shared" si="5"/>
        <v>0</v>
      </c>
      <c r="AO99" s="248">
        <f t="shared" si="6"/>
        <v>0</v>
      </c>
      <c r="AP99" s="248">
        <f t="shared" si="7"/>
        <v>0</v>
      </c>
      <c r="AQ99" s="248">
        <f t="shared" si="8"/>
        <v>0</v>
      </c>
      <c r="AR99" s="248">
        <f t="shared" si="9"/>
        <v>0</v>
      </c>
      <c r="AS99" s="248">
        <f t="shared" si="10"/>
        <v>0</v>
      </c>
      <c r="AT99" s="248">
        <f t="shared" si="11"/>
        <v>0</v>
      </c>
      <c r="AU99" s="250">
        <v>0</v>
      </c>
      <c r="AV99" s="250">
        <v>0</v>
      </c>
      <c r="AW99" s="250">
        <v>0</v>
      </c>
      <c r="AX99" s="250">
        <v>0</v>
      </c>
      <c r="AY99" s="250">
        <v>0</v>
      </c>
      <c r="AZ99" s="250">
        <v>0</v>
      </c>
      <c r="BA99" s="250">
        <v>0</v>
      </c>
      <c r="BB99" s="250">
        <v>0</v>
      </c>
      <c r="BC99" s="250">
        <v>0</v>
      </c>
      <c r="BD99" s="250">
        <v>0</v>
      </c>
      <c r="BE99" s="250">
        <v>0</v>
      </c>
      <c r="BF99" s="250">
        <v>0</v>
      </c>
      <c r="BG99" s="250">
        <v>0</v>
      </c>
      <c r="BH99" s="250">
        <v>0</v>
      </c>
      <c r="BI99" s="250">
        <v>0</v>
      </c>
      <c r="BJ99" s="250">
        <v>0</v>
      </c>
      <c r="BK99" s="250">
        <v>0</v>
      </c>
      <c r="BL99" s="250">
        <v>0</v>
      </c>
      <c r="BM99" s="250">
        <v>0</v>
      </c>
      <c r="BN99" s="250">
        <v>0</v>
      </c>
      <c r="BO99" s="250">
        <v>0</v>
      </c>
      <c r="BP99" s="250">
        <v>0</v>
      </c>
      <c r="BQ99" s="250">
        <v>0</v>
      </c>
      <c r="BR99" s="250">
        <v>0</v>
      </c>
      <c r="BS99" s="250">
        <v>0</v>
      </c>
      <c r="BT99" s="250">
        <v>0</v>
      </c>
      <c r="BU99" s="250">
        <v>0</v>
      </c>
      <c r="BV99" s="250">
        <v>0</v>
      </c>
      <c r="BW99" s="248">
        <f t="shared" si="13"/>
        <v>0</v>
      </c>
      <c r="BX99" s="248">
        <f t="shared" si="14"/>
        <v>0</v>
      </c>
      <c r="BY99" s="248">
        <f t="shared" si="15"/>
        <v>0</v>
      </c>
      <c r="BZ99" s="248">
        <f t="shared" si="16"/>
        <v>0</v>
      </c>
      <c r="CA99" s="248">
        <f t="shared" si="17"/>
        <v>0</v>
      </c>
      <c r="CB99" s="248">
        <f t="shared" si="18"/>
        <v>0</v>
      </c>
      <c r="CC99" s="248">
        <f t="shared" si="19"/>
        <v>0</v>
      </c>
      <c r="CD99" s="518">
        <f>'10'!T79</f>
        <v>0</v>
      </c>
    </row>
    <row r="100" spans="1:82" s="65" customFormat="1" ht="189">
      <c r="A100" s="239" t="s">
        <v>943</v>
      </c>
      <c r="B100" s="238" t="s">
        <v>944</v>
      </c>
      <c r="C100" s="202" t="s">
        <v>876</v>
      </c>
      <c r="D100" s="163" t="s">
        <v>876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0</v>
      </c>
      <c r="K100" s="180">
        <v>0</v>
      </c>
      <c r="L100" s="250">
        <f t="shared" ref="L100:AM100" si="109">L101+L102</f>
        <v>0</v>
      </c>
      <c r="M100" s="250">
        <f t="shared" si="109"/>
        <v>0</v>
      </c>
      <c r="N100" s="250">
        <f t="shared" si="109"/>
        <v>0</v>
      </c>
      <c r="O100" s="250">
        <f t="shared" si="109"/>
        <v>0</v>
      </c>
      <c r="P100" s="250">
        <f t="shared" si="109"/>
        <v>0</v>
      </c>
      <c r="Q100" s="250">
        <f t="shared" si="109"/>
        <v>0</v>
      </c>
      <c r="R100" s="250">
        <f t="shared" si="109"/>
        <v>0</v>
      </c>
      <c r="S100" s="250">
        <f t="shared" si="109"/>
        <v>0</v>
      </c>
      <c r="T100" s="250">
        <f t="shared" si="109"/>
        <v>0</v>
      </c>
      <c r="U100" s="250">
        <f t="shared" si="109"/>
        <v>0</v>
      </c>
      <c r="V100" s="250">
        <f t="shared" si="109"/>
        <v>0</v>
      </c>
      <c r="W100" s="250">
        <f t="shared" si="109"/>
        <v>0</v>
      </c>
      <c r="X100" s="250">
        <f t="shared" si="109"/>
        <v>0</v>
      </c>
      <c r="Y100" s="250">
        <f t="shared" si="109"/>
        <v>0</v>
      </c>
      <c r="Z100" s="250">
        <f t="shared" si="109"/>
        <v>0</v>
      </c>
      <c r="AA100" s="250">
        <f t="shared" si="109"/>
        <v>0</v>
      </c>
      <c r="AB100" s="250">
        <f t="shared" si="109"/>
        <v>0</v>
      </c>
      <c r="AC100" s="250">
        <f t="shared" si="109"/>
        <v>0</v>
      </c>
      <c r="AD100" s="250">
        <f t="shared" si="109"/>
        <v>0</v>
      </c>
      <c r="AE100" s="250">
        <f t="shared" si="109"/>
        <v>0</v>
      </c>
      <c r="AF100" s="250">
        <f t="shared" si="109"/>
        <v>0</v>
      </c>
      <c r="AG100" s="250">
        <f t="shared" si="109"/>
        <v>0</v>
      </c>
      <c r="AH100" s="250">
        <f t="shared" si="109"/>
        <v>0</v>
      </c>
      <c r="AI100" s="250">
        <f t="shared" si="109"/>
        <v>0</v>
      </c>
      <c r="AJ100" s="250">
        <f t="shared" si="109"/>
        <v>0</v>
      </c>
      <c r="AK100" s="250">
        <f t="shared" si="109"/>
        <v>0</v>
      </c>
      <c r="AL100" s="250">
        <f t="shared" si="109"/>
        <v>0</v>
      </c>
      <c r="AM100" s="250">
        <f t="shared" si="109"/>
        <v>0</v>
      </c>
      <c r="AN100" s="248">
        <f t="shared" ref="AN100:AN114" si="110">AU100+BB100+BI100+BP100</f>
        <v>0</v>
      </c>
      <c r="AO100" s="248">
        <f t="shared" ref="AO100:AO114" si="111">AV100+BC100+BJ100+BQ100</f>
        <v>0</v>
      </c>
      <c r="AP100" s="248">
        <f t="shared" ref="AP100:AP114" si="112">AW100+BD100+BK100+BR100</f>
        <v>0</v>
      </c>
      <c r="AQ100" s="248">
        <f t="shared" ref="AQ100:AQ114" si="113">AX100+BE100+BL100+BS100</f>
        <v>0</v>
      </c>
      <c r="AR100" s="248">
        <f t="shared" ref="AR100:AR114" si="114">AY100+BF100+BM100+BT100</f>
        <v>0</v>
      </c>
      <c r="AS100" s="248">
        <f t="shared" ref="AS100:AS114" si="115">AZ100+BG100+BN100+BU100</f>
        <v>0</v>
      </c>
      <c r="AT100" s="248">
        <f t="shared" ref="AT100:AT114" si="116">BA100+BH100+BO100+BV100</f>
        <v>0</v>
      </c>
      <c r="AU100" s="250">
        <f t="shared" ref="AU100:BV100" si="117">AU101+AU102</f>
        <v>0</v>
      </c>
      <c r="AV100" s="250">
        <f t="shared" si="117"/>
        <v>0</v>
      </c>
      <c r="AW100" s="250">
        <f t="shared" si="117"/>
        <v>0</v>
      </c>
      <c r="AX100" s="250">
        <f t="shared" si="117"/>
        <v>0</v>
      </c>
      <c r="AY100" s="250">
        <f t="shared" si="117"/>
        <v>0</v>
      </c>
      <c r="AZ100" s="250">
        <f t="shared" si="117"/>
        <v>0</v>
      </c>
      <c r="BA100" s="250">
        <f t="shared" si="117"/>
        <v>0</v>
      </c>
      <c r="BB100" s="250">
        <f t="shared" si="117"/>
        <v>0</v>
      </c>
      <c r="BC100" s="250">
        <f t="shared" si="117"/>
        <v>0</v>
      </c>
      <c r="BD100" s="250">
        <f t="shared" si="117"/>
        <v>0</v>
      </c>
      <c r="BE100" s="250">
        <f t="shared" si="117"/>
        <v>0</v>
      </c>
      <c r="BF100" s="250">
        <f t="shared" si="117"/>
        <v>0</v>
      </c>
      <c r="BG100" s="250">
        <f t="shared" si="117"/>
        <v>0</v>
      </c>
      <c r="BH100" s="250">
        <f t="shared" si="117"/>
        <v>0</v>
      </c>
      <c r="BI100" s="250">
        <f t="shared" si="117"/>
        <v>0</v>
      </c>
      <c r="BJ100" s="250">
        <f t="shared" si="117"/>
        <v>0</v>
      </c>
      <c r="BK100" s="250">
        <f t="shared" si="117"/>
        <v>0</v>
      </c>
      <c r="BL100" s="250">
        <f t="shared" si="117"/>
        <v>0</v>
      </c>
      <c r="BM100" s="250">
        <f t="shared" si="117"/>
        <v>0</v>
      </c>
      <c r="BN100" s="250">
        <f t="shared" si="117"/>
        <v>0</v>
      </c>
      <c r="BO100" s="250">
        <f t="shared" si="117"/>
        <v>0</v>
      </c>
      <c r="BP100" s="250">
        <f t="shared" si="117"/>
        <v>0</v>
      </c>
      <c r="BQ100" s="250">
        <f t="shared" si="117"/>
        <v>0</v>
      </c>
      <c r="BR100" s="250">
        <f t="shared" si="117"/>
        <v>0</v>
      </c>
      <c r="BS100" s="250">
        <f t="shared" si="117"/>
        <v>0</v>
      </c>
      <c r="BT100" s="250">
        <f t="shared" si="117"/>
        <v>0</v>
      </c>
      <c r="BU100" s="250">
        <f t="shared" si="117"/>
        <v>0</v>
      </c>
      <c r="BV100" s="250">
        <f t="shared" si="117"/>
        <v>0</v>
      </c>
      <c r="BW100" s="248">
        <f t="shared" ref="BW100:BW114" si="118">E100-AN100</f>
        <v>0</v>
      </c>
      <c r="BX100" s="248">
        <f t="shared" ref="BX100:BX114" si="119">F100-AO100</f>
        <v>0</v>
      </c>
      <c r="BY100" s="248">
        <f t="shared" ref="BY100:BY114" si="120">G100-AP100</f>
        <v>0</v>
      </c>
      <c r="BZ100" s="248">
        <f t="shared" ref="BZ100:BZ114" si="121">H100-AQ100</f>
        <v>0</v>
      </c>
      <c r="CA100" s="248">
        <f t="shared" ref="CA100:CA114" si="122">I100-AR100</f>
        <v>0</v>
      </c>
      <c r="CB100" s="248">
        <f t="shared" ref="CB100:CB114" si="123">J100-AS100</f>
        <v>0</v>
      </c>
      <c r="CC100" s="248">
        <f t="shared" ref="CC100:CC114" si="124">K100-AT100</f>
        <v>0</v>
      </c>
      <c r="CD100" s="518">
        <f>'10'!T80</f>
        <v>0</v>
      </c>
    </row>
    <row r="101" spans="1:82" s="65" customFormat="1" ht="94.5">
      <c r="A101" s="239" t="s">
        <v>945</v>
      </c>
      <c r="B101" s="238" t="s">
        <v>946</v>
      </c>
      <c r="C101" s="202" t="s">
        <v>876</v>
      </c>
      <c r="D101" s="163" t="s">
        <v>876</v>
      </c>
      <c r="E101" s="180">
        <v>0</v>
      </c>
      <c r="F101" s="180">
        <v>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250">
        <v>0</v>
      </c>
      <c r="M101" s="250">
        <v>0</v>
      </c>
      <c r="N101" s="250">
        <v>0</v>
      </c>
      <c r="O101" s="250">
        <v>0</v>
      </c>
      <c r="P101" s="250">
        <v>0</v>
      </c>
      <c r="Q101" s="250">
        <v>0</v>
      </c>
      <c r="R101" s="250">
        <v>0</v>
      </c>
      <c r="S101" s="250">
        <v>0</v>
      </c>
      <c r="T101" s="250">
        <v>0</v>
      </c>
      <c r="U101" s="250">
        <v>0</v>
      </c>
      <c r="V101" s="250">
        <v>0</v>
      </c>
      <c r="W101" s="250">
        <v>0</v>
      </c>
      <c r="X101" s="250">
        <v>0</v>
      </c>
      <c r="Y101" s="250">
        <v>0</v>
      </c>
      <c r="Z101" s="250">
        <v>0</v>
      </c>
      <c r="AA101" s="250">
        <v>0</v>
      </c>
      <c r="AB101" s="250">
        <v>0</v>
      </c>
      <c r="AC101" s="250">
        <v>0</v>
      </c>
      <c r="AD101" s="250">
        <v>0</v>
      </c>
      <c r="AE101" s="250">
        <v>0</v>
      </c>
      <c r="AF101" s="250">
        <v>0</v>
      </c>
      <c r="AG101" s="250">
        <v>0</v>
      </c>
      <c r="AH101" s="250">
        <v>0</v>
      </c>
      <c r="AI101" s="250">
        <v>0</v>
      </c>
      <c r="AJ101" s="250">
        <v>0</v>
      </c>
      <c r="AK101" s="250">
        <v>0</v>
      </c>
      <c r="AL101" s="250">
        <v>0</v>
      </c>
      <c r="AM101" s="250">
        <v>0</v>
      </c>
      <c r="AN101" s="248">
        <f t="shared" si="110"/>
        <v>0</v>
      </c>
      <c r="AO101" s="248">
        <f t="shared" si="111"/>
        <v>0</v>
      </c>
      <c r="AP101" s="248">
        <f t="shared" si="112"/>
        <v>0</v>
      </c>
      <c r="AQ101" s="248">
        <f t="shared" si="113"/>
        <v>0</v>
      </c>
      <c r="AR101" s="248">
        <f t="shared" si="114"/>
        <v>0</v>
      </c>
      <c r="AS101" s="248">
        <f t="shared" si="115"/>
        <v>0</v>
      </c>
      <c r="AT101" s="248">
        <f t="shared" si="116"/>
        <v>0</v>
      </c>
      <c r="AU101" s="250">
        <v>0</v>
      </c>
      <c r="AV101" s="250">
        <v>0</v>
      </c>
      <c r="AW101" s="250">
        <v>0</v>
      </c>
      <c r="AX101" s="250">
        <v>0</v>
      </c>
      <c r="AY101" s="250">
        <v>0</v>
      </c>
      <c r="AZ101" s="250">
        <v>0</v>
      </c>
      <c r="BA101" s="250">
        <v>0</v>
      </c>
      <c r="BB101" s="250">
        <v>0</v>
      </c>
      <c r="BC101" s="250">
        <v>0</v>
      </c>
      <c r="BD101" s="250">
        <v>0</v>
      </c>
      <c r="BE101" s="250">
        <v>0</v>
      </c>
      <c r="BF101" s="250">
        <v>0</v>
      </c>
      <c r="BG101" s="250">
        <v>0</v>
      </c>
      <c r="BH101" s="250">
        <v>0</v>
      </c>
      <c r="BI101" s="250">
        <v>0</v>
      </c>
      <c r="BJ101" s="250">
        <v>0</v>
      </c>
      <c r="BK101" s="250">
        <v>0</v>
      </c>
      <c r="BL101" s="250">
        <v>0</v>
      </c>
      <c r="BM101" s="250">
        <v>0</v>
      </c>
      <c r="BN101" s="250">
        <v>0</v>
      </c>
      <c r="BO101" s="250">
        <v>0</v>
      </c>
      <c r="BP101" s="250">
        <v>0</v>
      </c>
      <c r="BQ101" s="250">
        <v>0</v>
      </c>
      <c r="BR101" s="250">
        <v>0</v>
      </c>
      <c r="BS101" s="250">
        <v>0</v>
      </c>
      <c r="BT101" s="250">
        <v>0</v>
      </c>
      <c r="BU101" s="250">
        <v>0</v>
      </c>
      <c r="BV101" s="250">
        <v>0</v>
      </c>
      <c r="BW101" s="248">
        <f t="shared" si="118"/>
        <v>0</v>
      </c>
      <c r="BX101" s="248">
        <f t="shared" si="119"/>
        <v>0</v>
      </c>
      <c r="BY101" s="248">
        <f t="shared" si="120"/>
        <v>0</v>
      </c>
      <c r="BZ101" s="248">
        <f t="shared" si="121"/>
        <v>0</v>
      </c>
      <c r="CA101" s="248">
        <f t="shared" si="122"/>
        <v>0</v>
      </c>
      <c r="CB101" s="248">
        <f t="shared" si="123"/>
        <v>0</v>
      </c>
      <c r="CC101" s="248">
        <f t="shared" si="124"/>
        <v>0</v>
      </c>
      <c r="CD101" s="518">
        <f>'10'!T81</f>
        <v>0</v>
      </c>
    </row>
    <row r="102" spans="1:82" s="65" customFormat="1" ht="94.5">
      <c r="A102" s="239" t="s">
        <v>947</v>
      </c>
      <c r="B102" s="238" t="s">
        <v>948</v>
      </c>
      <c r="C102" s="202" t="s">
        <v>876</v>
      </c>
      <c r="D102" s="163" t="s">
        <v>876</v>
      </c>
      <c r="E102" s="180">
        <v>0</v>
      </c>
      <c r="F102" s="180">
        <v>0</v>
      </c>
      <c r="G102" s="180">
        <v>0</v>
      </c>
      <c r="H102" s="180">
        <v>0</v>
      </c>
      <c r="I102" s="180">
        <v>0</v>
      </c>
      <c r="J102" s="180">
        <v>0</v>
      </c>
      <c r="K102" s="180">
        <v>0</v>
      </c>
      <c r="L102" s="250">
        <v>0</v>
      </c>
      <c r="M102" s="250">
        <v>0</v>
      </c>
      <c r="N102" s="250">
        <v>0</v>
      </c>
      <c r="O102" s="250">
        <v>0</v>
      </c>
      <c r="P102" s="250">
        <v>0</v>
      </c>
      <c r="Q102" s="250">
        <v>0</v>
      </c>
      <c r="R102" s="250">
        <v>0</v>
      </c>
      <c r="S102" s="250">
        <v>0</v>
      </c>
      <c r="T102" s="250">
        <v>0</v>
      </c>
      <c r="U102" s="250">
        <v>0</v>
      </c>
      <c r="V102" s="250">
        <v>0</v>
      </c>
      <c r="W102" s="250">
        <v>0</v>
      </c>
      <c r="X102" s="250">
        <v>0</v>
      </c>
      <c r="Y102" s="250">
        <v>0</v>
      </c>
      <c r="Z102" s="250">
        <v>0</v>
      </c>
      <c r="AA102" s="250">
        <v>0</v>
      </c>
      <c r="AB102" s="250">
        <v>0</v>
      </c>
      <c r="AC102" s="250">
        <v>0</v>
      </c>
      <c r="AD102" s="250">
        <v>0</v>
      </c>
      <c r="AE102" s="250">
        <v>0</v>
      </c>
      <c r="AF102" s="250">
        <v>0</v>
      </c>
      <c r="AG102" s="250">
        <v>0</v>
      </c>
      <c r="AH102" s="250">
        <v>0</v>
      </c>
      <c r="AI102" s="250">
        <v>0</v>
      </c>
      <c r="AJ102" s="250">
        <v>0</v>
      </c>
      <c r="AK102" s="250">
        <v>0</v>
      </c>
      <c r="AL102" s="250">
        <v>0</v>
      </c>
      <c r="AM102" s="250">
        <v>0</v>
      </c>
      <c r="AN102" s="248">
        <f t="shared" si="110"/>
        <v>0</v>
      </c>
      <c r="AO102" s="248">
        <f t="shared" si="111"/>
        <v>0</v>
      </c>
      <c r="AP102" s="248">
        <f t="shared" si="112"/>
        <v>0</v>
      </c>
      <c r="AQ102" s="248">
        <f t="shared" si="113"/>
        <v>0</v>
      </c>
      <c r="AR102" s="248">
        <f t="shared" si="114"/>
        <v>0</v>
      </c>
      <c r="AS102" s="248">
        <f t="shared" si="115"/>
        <v>0</v>
      </c>
      <c r="AT102" s="248">
        <f t="shared" si="116"/>
        <v>0</v>
      </c>
      <c r="AU102" s="250">
        <v>0</v>
      </c>
      <c r="AV102" s="250">
        <v>0</v>
      </c>
      <c r="AW102" s="250">
        <v>0</v>
      </c>
      <c r="AX102" s="250">
        <v>0</v>
      </c>
      <c r="AY102" s="250">
        <v>0</v>
      </c>
      <c r="AZ102" s="250">
        <v>0</v>
      </c>
      <c r="BA102" s="250">
        <v>0</v>
      </c>
      <c r="BB102" s="250">
        <v>0</v>
      </c>
      <c r="BC102" s="250">
        <v>0</v>
      </c>
      <c r="BD102" s="250">
        <v>0</v>
      </c>
      <c r="BE102" s="250">
        <v>0</v>
      </c>
      <c r="BF102" s="250">
        <v>0</v>
      </c>
      <c r="BG102" s="250">
        <v>0</v>
      </c>
      <c r="BH102" s="250">
        <v>0</v>
      </c>
      <c r="BI102" s="250">
        <v>0</v>
      </c>
      <c r="BJ102" s="250">
        <v>0</v>
      </c>
      <c r="BK102" s="250">
        <v>0</v>
      </c>
      <c r="BL102" s="250">
        <v>0</v>
      </c>
      <c r="BM102" s="250">
        <v>0</v>
      </c>
      <c r="BN102" s="250">
        <v>0</v>
      </c>
      <c r="BO102" s="250">
        <v>0</v>
      </c>
      <c r="BP102" s="250">
        <v>0</v>
      </c>
      <c r="BQ102" s="250">
        <v>0</v>
      </c>
      <c r="BR102" s="250">
        <v>0</v>
      </c>
      <c r="BS102" s="250">
        <v>0</v>
      </c>
      <c r="BT102" s="250">
        <v>0</v>
      </c>
      <c r="BU102" s="250">
        <v>0</v>
      </c>
      <c r="BV102" s="250">
        <v>0</v>
      </c>
      <c r="BW102" s="248">
        <f t="shared" si="118"/>
        <v>0</v>
      </c>
      <c r="BX102" s="248">
        <f t="shared" si="119"/>
        <v>0</v>
      </c>
      <c r="BY102" s="248">
        <f t="shared" si="120"/>
        <v>0</v>
      </c>
      <c r="BZ102" s="248">
        <f t="shared" si="121"/>
        <v>0</v>
      </c>
      <c r="CA102" s="248">
        <f t="shared" si="122"/>
        <v>0</v>
      </c>
      <c r="CB102" s="248">
        <f t="shared" si="123"/>
        <v>0</v>
      </c>
      <c r="CC102" s="248">
        <f t="shared" si="124"/>
        <v>0</v>
      </c>
      <c r="CD102" s="518">
        <f>'10'!T82</f>
        <v>0</v>
      </c>
    </row>
    <row r="103" spans="1:82" s="65" customFormat="1" ht="63">
      <c r="A103" s="239" t="s">
        <v>949</v>
      </c>
      <c r="B103" s="238" t="s">
        <v>884</v>
      </c>
      <c r="C103" s="198" t="s">
        <v>876</v>
      </c>
      <c r="D103" s="163" t="s">
        <v>876</v>
      </c>
      <c r="E103" s="251">
        <v>0</v>
      </c>
      <c r="F103" s="251">
        <v>0</v>
      </c>
      <c r="G103" s="251">
        <v>0</v>
      </c>
      <c r="H103" s="251">
        <v>0</v>
      </c>
      <c r="I103" s="251">
        <v>0</v>
      </c>
      <c r="J103" s="251">
        <v>0</v>
      </c>
      <c r="K103" s="251">
        <v>0</v>
      </c>
      <c r="L103" s="250">
        <v>0</v>
      </c>
      <c r="M103" s="250">
        <v>0</v>
      </c>
      <c r="N103" s="250">
        <v>0</v>
      </c>
      <c r="O103" s="250">
        <v>0</v>
      </c>
      <c r="P103" s="250">
        <v>0</v>
      </c>
      <c r="Q103" s="250">
        <v>0</v>
      </c>
      <c r="R103" s="250">
        <v>0</v>
      </c>
      <c r="S103" s="250">
        <v>0</v>
      </c>
      <c r="T103" s="250">
        <v>0</v>
      </c>
      <c r="U103" s="250">
        <v>0</v>
      </c>
      <c r="V103" s="250">
        <v>0</v>
      </c>
      <c r="W103" s="250">
        <v>0</v>
      </c>
      <c r="X103" s="250">
        <v>0</v>
      </c>
      <c r="Y103" s="250">
        <v>0</v>
      </c>
      <c r="Z103" s="250">
        <v>0</v>
      </c>
      <c r="AA103" s="250">
        <v>0</v>
      </c>
      <c r="AB103" s="250">
        <v>0</v>
      </c>
      <c r="AC103" s="250">
        <v>0</v>
      </c>
      <c r="AD103" s="250">
        <v>0</v>
      </c>
      <c r="AE103" s="250">
        <v>0</v>
      </c>
      <c r="AF103" s="250">
        <v>0</v>
      </c>
      <c r="AG103" s="250">
        <v>0</v>
      </c>
      <c r="AH103" s="250">
        <v>0</v>
      </c>
      <c r="AI103" s="250">
        <v>0</v>
      </c>
      <c r="AJ103" s="250">
        <v>0</v>
      </c>
      <c r="AK103" s="250">
        <v>0</v>
      </c>
      <c r="AL103" s="250">
        <v>0</v>
      </c>
      <c r="AM103" s="250">
        <v>0</v>
      </c>
      <c r="AN103" s="248">
        <f t="shared" si="110"/>
        <v>0</v>
      </c>
      <c r="AO103" s="248">
        <f t="shared" si="111"/>
        <v>0</v>
      </c>
      <c r="AP103" s="248">
        <f t="shared" si="112"/>
        <v>0</v>
      </c>
      <c r="AQ103" s="248">
        <f t="shared" si="113"/>
        <v>0</v>
      </c>
      <c r="AR103" s="248">
        <f t="shared" si="114"/>
        <v>0</v>
      </c>
      <c r="AS103" s="248">
        <f t="shared" si="115"/>
        <v>0</v>
      </c>
      <c r="AT103" s="248">
        <f t="shared" si="116"/>
        <v>0</v>
      </c>
      <c r="AU103" s="250">
        <v>0</v>
      </c>
      <c r="AV103" s="250">
        <v>0</v>
      </c>
      <c r="AW103" s="250">
        <v>0</v>
      </c>
      <c r="AX103" s="250">
        <v>0</v>
      </c>
      <c r="AY103" s="250">
        <v>0</v>
      </c>
      <c r="AZ103" s="250">
        <v>0</v>
      </c>
      <c r="BA103" s="250">
        <v>0</v>
      </c>
      <c r="BB103" s="250">
        <v>0</v>
      </c>
      <c r="BC103" s="250">
        <v>0</v>
      </c>
      <c r="BD103" s="250">
        <v>0</v>
      </c>
      <c r="BE103" s="250">
        <v>0</v>
      </c>
      <c r="BF103" s="250">
        <v>0</v>
      </c>
      <c r="BG103" s="250">
        <v>0</v>
      </c>
      <c r="BH103" s="250">
        <v>0</v>
      </c>
      <c r="BI103" s="250">
        <v>0</v>
      </c>
      <c r="BJ103" s="250">
        <v>0</v>
      </c>
      <c r="BK103" s="250">
        <v>0</v>
      </c>
      <c r="BL103" s="250">
        <v>0</v>
      </c>
      <c r="BM103" s="250">
        <v>0</v>
      </c>
      <c r="BN103" s="250">
        <v>0</v>
      </c>
      <c r="BO103" s="250">
        <v>0</v>
      </c>
      <c r="BP103" s="250">
        <v>0</v>
      </c>
      <c r="BQ103" s="250">
        <v>0</v>
      </c>
      <c r="BR103" s="250">
        <v>0</v>
      </c>
      <c r="BS103" s="250">
        <v>0</v>
      </c>
      <c r="BT103" s="250">
        <v>0</v>
      </c>
      <c r="BU103" s="250">
        <v>0</v>
      </c>
      <c r="BV103" s="250">
        <v>0</v>
      </c>
      <c r="BW103" s="248">
        <f t="shared" si="118"/>
        <v>0</v>
      </c>
      <c r="BX103" s="248">
        <f t="shared" si="119"/>
        <v>0</v>
      </c>
      <c r="BY103" s="248">
        <f t="shared" si="120"/>
        <v>0</v>
      </c>
      <c r="BZ103" s="248">
        <f t="shared" si="121"/>
        <v>0</v>
      </c>
      <c r="CA103" s="248">
        <f t="shared" si="122"/>
        <v>0</v>
      </c>
      <c r="CB103" s="248">
        <f t="shared" si="123"/>
        <v>0</v>
      </c>
      <c r="CC103" s="248">
        <f t="shared" si="124"/>
        <v>0</v>
      </c>
      <c r="CD103" s="518" t="str">
        <f>'10'!T83</f>
        <v>Финансирование освоенного инвестиционного проекта 2017 года</v>
      </c>
    </row>
    <row r="104" spans="1:82" s="65" customFormat="1" ht="78.75">
      <c r="A104" s="246" t="s">
        <v>843</v>
      </c>
      <c r="B104" s="247" t="s">
        <v>1072</v>
      </c>
      <c r="C104" s="210" t="s">
        <v>1088</v>
      </c>
      <c r="D104" s="163" t="s">
        <v>876</v>
      </c>
      <c r="E104" s="251">
        <v>0</v>
      </c>
      <c r="F104" s="251">
        <v>0</v>
      </c>
      <c r="G104" s="251">
        <v>0</v>
      </c>
      <c r="H104" s="251">
        <v>0</v>
      </c>
      <c r="I104" s="251">
        <v>0</v>
      </c>
      <c r="J104" s="251">
        <v>0</v>
      </c>
      <c r="K104" s="251">
        <v>0</v>
      </c>
      <c r="L104" s="250">
        <v>0</v>
      </c>
      <c r="M104" s="250">
        <v>0</v>
      </c>
      <c r="N104" s="250">
        <v>0</v>
      </c>
      <c r="O104" s="250">
        <v>0</v>
      </c>
      <c r="P104" s="250">
        <v>0</v>
      </c>
      <c r="Q104" s="250">
        <v>0</v>
      </c>
      <c r="R104" s="250">
        <v>0</v>
      </c>
      <c r="S104" s="250">
        <v>0</v>
      </c>
      <c r="T104" s="250">
        <v>0</v>
      </c>
      <c r="U104" s="250">
        <v>0</v>
      </c>
      <c r="V104" s="250">
        <v>0</v>
      </c>
      <c r="W104" s="250">
        <v>0</v>
      </c>
      <c r="X104" s="250">
        <v>0</v>
      </c>
      <c r="Y104" s="250">
        <v>0</v>
      </c>
      <c r="Z104" s="250">
        <v>0</v>
      </c>
      <c r="AA104" s="250">
        <v>0</v>
      </c>
      <c r="AB104" s="250">
        <v>0</v>
      </c>
      <c r="AC104" s="250">
        <v>0</v>
      </c>
      <c r="AD104" s="250">
        <v>0</v>
      </c>
      <c r="AE104" s="250">
        <v>0</v>
      </c>
      <c r="AF104" s="250">
        <v>0</v>
      </c>
      <c r="AG104" s="250">
        <v>0</v>
      </c>
      <c r="AH104" s="250">
        <v>0</v>
      </c>
      <c r="AI104" s="250">
        <v>0</v>
      </c>
      <c r="AJ104" s="250">
        <v>0</v>
      </c>
      <c r="AK104" s="250">
        <v>0</v>
      </c>
      <c r="AL104" s="250">
        <v>0</v>
      </c>
      <c r="AM104" s="250">
        <v>0</v>
      </c>
      <c r="AN104" s="248">
        <v>0</v>
      </c>
      <c r="AO104" s="248">
        <v>0</v>
      </c>
      <c r="AP104" s="248">
        <v>0</v>
      </c>
      <c r="AQ104" s="248">
        <v>0</v>
      </c>
      <c r="AR104" s="248">
        <v>0</v>
      </c>
      <c r="AS104" s="248">
        <v>0</v>
      </c>
      <c r="AT104" s="248">
        <v>0</v>
      </c>
      <c r="AU104" s="250">
        <v>0</v>
      </c>
      <c r="AV104" s="250">
        <v>0</v>
      </c>
      <c r="AW104" s="250">
        <v>0</v>
      </c>
      <c r="AX104" s="250">
        <v>0</v>
      </c>
      <c r="AY104" s="250">
        <v>0</v>
      </c>
      <c r="AZ104" s="250">
        <v>0</v>
      </c>
      <c r="BA104" s="250">
        <v>0</v>
      </c>
      <c r="BB104" s="250">
        <v>0</v>
      </c>
      <c r="BC104" s="250">
        <v>0</v>
      </c>
      <c r="BD104" s="250">
        <v>0</v>
      </c>
      <c r="BE104" s="250">
        <v>0</v>
      </c>
      <c r="BF104" s="250">
        <v>0</v>
      </c>
      <c r="BG104" s="250">
        <v>0</v>
      </c>
      <c r="BH104" s="250">
        <v>0</v>
      </c>
      <c r="BI104" s="250">
        <v>0</v>
      </c>
      <c r="BJ104" s="250">
        <v>0</v>
      </c>
      <c r="BK104" s="250">
        <v>0</v>
      </c>
      <c r="BL104" s="250">
        <v>0</v>
      </c>
      <c r="BM104" s="250">
        <v>0</v>
      </c>
      <c r="BN104" s="250">
        <v>0</v>
      </c>
      <c r="BO104" s="250">
        <v>0</v>
      </c>
      <c r="BP104" s="250">
        <v>0</v>
      </c>
      <c r="BQ104" s="250">
        <v>0</v>
      </c>
      <c r="BR104" s="250">
        <v>0</v>
      </c>
      <c r="BS104" s="250">
        <v>0</v>
      </c>
      <c r="BT104" s="250">
        <v>0</v>
      </c>
      <c r="BU104" s="250">
        <v>0</v>
      </c>
      <c r="BV104" s="250">
        <v>0</v>
      </c>
      <c r="BW104" s="248">
        <v>0</v>
      </c>
      <c r="BX104" s="248">
        <v>0</v>
      </c>
      <c r="BY104" s="248">
        <v>0</v>
      </c>
      <c r="BZ104" s="248">
        <v>0</v>
      </c>
      <c r="CA104" s="248">
        <v>0</v>
      </c>
      <c r="CB104" s="248">
        <v>0</v>
      </c>
      <c r="CC104" s="248">
        <v>0</v>
      </c>
      <c r="CD104" s="518" t="str">
        <f>'10'!T84</f>
        <v>Финансирование освоенного инвестиционного проекта 2017 года</v>
      </c>
    </row>
    <row r="105" spans="1:82" s="65" customFormat="1" ht="78.75">
      <c r="A105" s="246" t="s">
        <v>844</v>
      </c>
      <c r="B105" s="247" t="s">
        <v>1073</v>
      </c>
      <c r="C105" s="210" t="s">
        <v>1087</v>
      </c>
      <c r="D105" s="163" t="s">
        <v>876</v>
      </c>
      <c r="E105" s="251">
        <v>0</v>
      </c>
      <c r="F105" s="251">
        <v>0</v>
      </c>
      <c r="G105" s="251">
        <v>0</v>
      </c>
      <c r="H105" s="251">
        <v>0</v>
      </c>
      <c r="I105" s="251">
        <v>0</v>
      </c>
      <c r="J105" s="251">
        <v>0</v>
      </c>
      <c r="K105" s="251">
        <v>0</v>
      </c>
      <c r="L105" s="250">
        <v>0</v>
      </c>
      <c r="M105" s="250">
        <v>0</v>
      </c>
      <c r="N105" s="250">
        <v>0</v>
      </c>
      <c r="O105" s="250">
        <v>0</v>
      </c>
      <c r="P105" s="250">
        <v>0</v>
      </c>
      <c r="Q105" s="250">
        <v>0</v>
      </c>
      <c r="R105" s="250">
        <v>0</v>
      </c>
      <c r="S105" s="250">
        <v>0</v>
      </c>
      <c r="T105" s="250">
        <v>0</v>
      </c>
      <c r="U105" s="250">
        <v>0</v>
      </c>
      <c r="V105" s="250">
        <v>0</v>
      </c>
      <c r="W105" s="250">
        <v>0</v>
      </c>
      <c r="X105" s="250">
        <v>0</v>
      </c>
      <c r="Y105" s="250">
        <v>0</v>
      </c>
      <c r="Z105" s="250">
        <v>0</v>
      </c>
      <c r="AA105" s="250">
        <v>0</v>
      </c>
      <c r="AB105" s="250">
        <v>0</v>
      </c>
      <c r="AC105" s="250">
        <v>0</v>
      </c>
      <c r="AD105" s="250">
        <v>0</v>
      </c>
      <c r="AE105" s="250">
        <v>0</v>
      </c>
      <c r="AF105" s="250">
        <v>0</v>
      </c>
      <c r="AG105" s="250">
        <v>0</v>
      </c>
      <c r="AH105" s="250">
        <v>0</v>
      </c>
      <c r="AI105" s="250">
        <v>0</v>
      </c>
      <c r="AJ105" s="250">
        <v>0</v>
      </c>
      <c r="AK105" s="250">
        <v>0</v>
      </c>
      <c r="AL105" s="250">
        <v>0</v>
      </c>
      <c r="AM105" s="250">
        <v>0</v>
      </c>
      <c r="AN105" s="248">
        <v>0</v>
      </c>
      <c r="AO105" s="248">
        <v>0</v>
      </c>
      <c r="AP105" s="248">
        <v>0</v>
      </c>
      <c r="AQ105" s="248">
        <v>0</v>
      </c>
      <c r="AR105" s="248">
        <v>0</v>
      </c>
      <c r="AS105" s="248">
        <v>0</v>
      </c>
      <c r="AT105" s="248">
        <v>0</v>
      </c>
      <c r="AU105" s="250">
        <v>0</v>
      </c>
      <c r="AV105" s="250">
        <v>0</v>
      </c>
      <c r="AW105" s="250">
        <v>0</v>
      </c>
      <c r="AX105" s="250">
        <v>0</v>
      </c>
      <c r="AY105" s="250">
        <v>0</v>
      </c>
      <c r="AZ105" s="250">
        <v>0</v>
      </c>
      <c r="BA105" s="250">
        <v>0</v>
      </c>
      <c r="BB105" s="250">
        <v>0</v>
      </c>
      <c r="BC105" s="250">
        <v>0</v>
      </c>
      <c r="BD105" s="250">
        <v>0</v>
      </c>
      <c r="BE105" s="250">
        <v>0</v>
      </c>
      <c r="BF105" s="250">
        <v>0</v>
      </c>
      <c r="BG105" s="250">
        <v>0</v>
      </c>
      <c r="BH105" s="250">
        <v>0</v>
      </c>
      <c r="BI105" s="250">
        <v>0</v>
      </c>
      <c r="BJ105" s="250">
        <v>0</v>
      </c>
      <c r="BK105" s="250">
        <v>0</v>
      </c>
      <c r="BL105" s="250">
        <v>0</v>
      </c>
      <c r="BM105" s="250">
        <v>0</v>
      </c>
      <c r="BN105" s="250">
        <v>0</v>
      </c>
      <c r="BO105" s="250">
        <v>0</v>
      </c>
      <c r="BP105" s="250">
        <v>0</v>
      </c>
      <c r="BQ105" s="250">
        <v>0</v>
      </c>
      <c r="BR105" s="250">
        <v>0</v>
      </c>
      <c r="BS105" s="250">
        <v>0</v>
      </c>
      <c r="BT105" s="250">
        <v>0</v>
      </c>
      <c r="BU105" s="250">
        <v>0</v>
      </c>
      <c r="BV105" s="250">
        <v>0</v>
      </c>
      <c r="BW105" s="248">
        <v>0</v>
      </c>
      <c r="BX105" s="248">
        <v>0</v>
      </c>
      <c r="BY105" s="248">
        <v>0</v>
      </c>
      <c r="BZ105" s="248">
        <v>0</v>
      </c>
      <c r="CA105" s="248">
        <v>0</v>
      </c>
      <c r="CB105" s="248">
        <v>0</v>
      </c>
      <c r="CC105" s="248">
        <v>0</v>
      </c>
      <c r="CD105" s="518">
        <f>'10'!T85</f>
        <v>0</v>
      </c>
    </row>
    <row r="106" spans="1:82" s="65" customFormat="1" ht="78.75">
      <c r="A106" s="239" t="s">
        <v>950</v>
      </c>
      <c r="B106" s="238" t="s">
        <v>951</v>
      </c>
      <c r="C106" s="202" t="s">
        <v>876</v>
      </c>
      <c r="D106" s="163" t="s">
        <v>876</v>
      </c>
      <c r="E106" s="180">
        <v>0</v>
      </c>
      <c r="F106" s="180">
        <v>0</v>
      </c>
      <c r="G106" s="180">
        <v>0</v>
      </c>
      <c r="H106" s="180">
        <v>0</v>
      </c>
      <c r="I106" s="180">
        <v>0</v>
      </c>
      <c r="J106" s="180">
        <v>0</v>
      </c>
      <c r="K106" s="180">
        <v>0</v>
      </c>
      <c r="L106" s="250">
        <v>0</v>
      </c>
      <c r="M106" s="250">
        <v>0</v>
      </c>
      <c r="N106" s="250">
        <v>0</v>
      </c>
      <c r="O106" s="250">
        <v>0</v>
      </c>
      <c r="P106" s="250">
        <v>0</v>
      </c>
      <c r="Q106" s="250">
        <v>0</v>
      </c>
      <c r="R106" s="250">
        <v>0</v>
      </c>
      <c r="S106" s="250">
        <v>0</v>
      </c>
      <c r="T106" s="250">
        <v>0</v>
      </c>
      <c r="U106" s="250">
        <v>0</v>
      </c>
      <c r="V106" s="250">
        <v>0</v>
      </c>
      <c r="W106" s="250">
        <v>0</v>
      </c>
      <c r="X106" s="250">
        <v>0</v>
      </c>
      <c r="Y106" s="250">
        <v>0</v>
      </c>
      <c r="Z106" s="250">
        <v>0</v>
      </c>
      <c r="AA106" s="250">
        <v>0</v>
      </c>
      <c r="AB106" s="250">
        <v>0</v>
      </c>
      <c r="AC106" s="250">
        <v>0</v>
      </c>
      <c r="AD106" s="250">
        <v>0</v>
      </c>
      <c r="AE106" s="250">
        <v>0</v>
      </c>
      <c r="AF106" s="250">
        <v>0</v>
      </c>
      <c r="AG106" s="250">
        <v>0</v>
      </c>
      <c r="AH106" s="250">
        <v>0</v>
      </c>
      <c r="AI106" s="250">
        <v>0</v>
      </c>
      <c r="AJ106" s="250">
        <v>0</v>
      </c>
      <c r="AK106" s="250">
        <v>0</v>
      </c>
      <c r="AL106" s="250">
        <v>0</v>
      </c>
      <c r="AM106" s="250">
        <v>0</v>
      </c>
      <c r="AN106" s="248">
        <f t="shared" si="110"/>
        <v>0</v>
      </c>
      <c r="AO106" s="248">
        <f t="shared" si="111"/>
        <v>0</v>
      </c>
      <c r="AP106" s="248">
        <f t="shared" si="112"/>
        <v>0</v>
      </c>
      <c r="AQ106" s="248">
        <f t="shared" si="113"/>
        <v>0</v>
      </c>
      <c r="AR106" s="248">
        <f t="shared" si="114"/>
        <v>0</v>
      </c>
      <c r="AS106" s="248">
        <f t="shared" si="115"/>
        <v>0</v>
      </c>
      <c r="AT106" s="248">
        <f t="shared" si="116"/>
        <v>0</v>
      </c>
      <c r="AU106" s="250">
        <v>0</v>
      </c>
      <c r="AV106" s="250">
        <v>0</v>
      </c>
      <c r="AW106" s="250">
        <v>0</v>
      </c>
      <c r="AX106" s="250">
        <v>0</v>
      </c>
      <c r="AY106" s="250">
        <v>0</v>
      </c>
      <c r="AZ106" s="250">
        <v>0</v>
      </c>
      <c r="BA106" s="250">
        <v>0</v>
      </c>
      <c r="BB106" s="250">
        <v>0</v>
      </c>
      <c r="BC106" s="250">
        <v>0</v>
      </c>
      <c r="BD106" s="250">
        <v>0</v>
      </c>
      <c r="BE106" s="250">
        <v>0</v>
      </c>
      <c r="BF106" s="250">
        <v>0</v>
      </c>
      <c r="BG106" s="250">
        <v>0</v>
      </c>
      <c r="BH106" s="250">
        <v>0</v>
      </c>
      <c r="BI106" s="250">
        <v>0</v>
      </c>
      <c r="BJ106" s="250">
        <v>0</v>
      </c>
      <c r="BK106" s="250">
        <v>0</v>
      </c>
      <c r="BL106" s="250">
        <v>0</v>
      </c>
      <c r="BM106" s="250">
        <v>0</v>
      </c>
      <c r="BN106" s="250">
        <v>0</v>
      </c>
      <c r="BO106" s="250">
        <v>0</v>
      </c>
      <c r="BP106" s="250">
        <v>0</v>
      </c>
      <c r="BQ106" s="250">
        <v>0</v>
      </c>
      <c r="BR106" s="250">
        <v>0</v>
      </c>
      <c r="BS106" s="250">
        <v>0</v>
      </c>
      <c r="BT106" s="250">
        <v>0</v>
      </c>
      <c r="BU106" s="250">
        <v>0</v>
      </c>
      <c r="BV106" s="250">
        <v>0</v>
      </c>
      <c r="BW106" s="248">
        <f t="shared" si="118"/>
        <v>0</v>
      </c>
      <c r="BX106" s="248">
        <f t="shared" si="119"/>
        <v>0</v>
      </c>
      <c r="BY106" s="248">
        <f t="shared" si="120"/>
        <v>0</v>
      </c>
      <c r="BZ106" s="248">
        <f t="shared" si="121"/>
        <v>0</v>
      </c>
      <c r="CA106" s="248">
        <f t="shared" si="122"/>
        <v>0</v>
      </c>
      <c r="CB106" s="248">
        <f t="shared" si="123"/>
        <v>0</v>
      </c>
      <c r="CC106" s="248">
        <f t="shared" si="124"/>
        <v>0</v>
      </c>
      <c r="CD106" s="518" t="e">
        <f>'10'!#REF!</f>
        <v>#REF!</v>
      </c>
    </row>
    <row r="107" spans="1:82" s="65" customFormat="1" ht="47.25">
      <c r="A107" s="239" t="s">
        <v>952</v>
      </c>
      <c r="B107" s="238" t="s">
        <v>953</v>
      </c>
      <c r="C107" s="202" t="s">
        <v>876</v>
      </c>
      <c r="D107" s="163" t="s">
        <v>876</v>
      </c>
      <c r="E107" s="251">
        <v>0</v>
      </c>
      <c r="F107" s="251">
        <v>0</v>
      </c>
      <c r="G107" s="251">
        <v>0</v>
      </c>
      <c r="H107" s="251">
        <v>0</v>
      </c>
      <c r="I107" s="251">
        <v>0</v>
      </c>
      <c r="J107" s="251">
        <v>0</v>
      </c>
      <c r="K107" s="251">
        <v>0</v>
      </c>
      <c r="L107" s="250">
        <f t="shared" ref="L107:AM107" si="125">L108</f>
        <v>0</v>
      </c>
      <c r="M107" s="250">
        <f t="shared" si="125"/>
        <v>0</v>
      </c>
      <c r="N107" s="250">
        <f t="shared" si="125"/>
        <v>0</v>
      </c>
      <c r="O107" s="250">
        <f t="shared" si="125"/>
        <v>0</v>
      </c>
      <c r="P107" s="250">
        <f t="shared" si="125"/>
        <v>0</v>
      </c>
      <c r="Q107" s="250">
        <f t="shared" si="125"/>
        <v>0</v>
      </c>
      <c r="R107" s="250">
        <f t="shared" si="125"/>
        <v>0</v>
      </c>
      <c r="S107" s="250">
        <f t="shared" si="125"/>
        <v>0</v>
      </c>
      <c r="T107" s="250">
        <f t="shared" si="125"/>
        <v>0</v>
      </c>
      <c r="U107" s="250">
        <f t="shared" si="125"/>
        <v>0</v>
      </c>
      <c r="V107" s="250">
        <f t="shared" si="125"/>
        <v>0</v>
      </c>
      <c r="W107" s="250">
        <f t="shared" si="125"/>
        <v>0</v>
      </c>
      <c r="X107" s="250">
        <f t="shared" si="125"/>
        <v>0</v>
      </c>
      <c r="Y107" s="250">
        <f t="shared" si="125"/>
        <v>0</v>
      </c>
      <c r="Z107" s="250">
        <f t="shared" si="125"/>
        <v>0</v>
      </c>
      <c r="AA107" s="250">
        <f t="shared" si="125"/>
        <v>0</v>
      </c>
      <c r="AB107" s="250">
        <f t="shared" si="125"/>
        <v>0</v>
      </c>
      <c r="AC107" s="250">
        <f t="shared" si="125"/>
        <v>0</v>
      </c>
      <c r="AD107" s="250">
        <f t="shared" si="125"/>
        <v>0</v>
      </c>
      <c r="AE107" s="250">
        <f t="shared" si="125"/>
        <v>0</v>
      </c>
      <c r="AF107" s="250">
        <f t="shared" si="125"/>
        <v>0</v>
      </c>
      <c r="AG107" s="250">
        <f t="shared" si="125"/>
        <v>0</v>
      </c>
      <c r="AH107" s="250">
        <f t="shared" si="125"/>
        <v>0</v>
      </c>
      <c r="AI107" s="250">
        <f t="shared" si="125"/>
        <v>0</v>
      </c>
      <c r="AJ107" s="250">
        <f t="shared" si="125"/>
        <v>0</v>
      </c>
      <c r="AK107" s="250">
        <f t="shared" si="125"/>
        <v>0</v>
      </c>
      <c r="AL107" s="250">
        <f t="shared" si="125"/>
        <v>0</v>
      </c>
      <c r="AM107" s="250">
        <f t="shared" si="125"/>
        <v>0</v>
      </c>
      <c r="AN107" s="248">
        <f t="shared" si="110"/>
        <v>0</v>
      </c>
      <c r="AO107" s="248">
        <f t="shared" si="111"/>
        <v>0</v>
      </c>
      <c r="AP107" s="248">
        <f t="shared" si="112"/>
        <v>0</v>
      </c>
      <c r="AQ107" s="248">
        <f t="shared" si="113"/>
        <v>0</v>
      </c>
      <c r="AR107" s="248">
        <f t="shared" si="114"/>
        <v>0</v>
      </c>
      <c r="AS107" s="248">
        <f t="shared" si="115"/>
        <v>0</v>
      </c>
      <c r="AT107" s="248">
        <f t="shared" si="116"/>
        <v>0</v>
      </c>
      <c r="AU107" s="250">
        <f t="shared" ref="AU107:BV107" si="126">AU108</f>
        <v>0</v>
      </c>
      <c r="AV107" s="250">
        <f t="shared" si="126"/>
        <v>0</v>
      </c>
      <c r="AW107" s="250">
        <f t="shared" si="126"/>
        <v>0</v>
      </c>
      <c r="AX107" s="250">
        <f t="shared" si="126"/>
        <v>0</v>
      </c>
      <c r="AY107" s="250">
        <f t="shared" si="126"/>
        <v>0</v>
      </c>
      <c r="AZ107" s="250">
        <f t="shared" si="126"/>
        <v>0</v>
      </c>
      <c r="BA107" s="250">
        <f t="shared" si="126"/>
        <v>0</v>
      </c>
      <c r="BB107" s="250">
        <f t="shared" si="126"/>
        <v>0</v>
      </c>
      <c r="BC107" s="250">
        <f t="shared" si="126"/>
        <v>0</v>
      </c>
      <c r="BD107" s="250">
        <f t="shared" si="126"/>
        <v>0</v>
      </c>
      <c r="BE107" s="250">
        <f t="shared" si="126"/>
        <v>0</v>
      </c>
      <c r="BF107" s="250">
        <f t="shared" si="126"/>
        <v>0</v>
      </c>
      <c r="BG107" s="250">
        <f t="shared" si="126"/>
        <v>0</v>
      </c>
      <c r="BH107" s="250">
        <f t="shared" si="126"/>
        <v>0</v>
      </c>
      <c r="BI107" s="250">
        <f t="shared" si="126"/>
        <v>0</v>
      </c>
      <c r="BJ107" s="250">
        <f t="shared" si="126"/>
        <v>0</v>
      </c>
      <c r="BK107" s="250">
        <f t="shared" si="126"/>
        <v>0</v>
      </c>
      <c r="BL107" s="250">
        <f t="shared" si="126"/>
        <v>0</v>
      </c>
      <c r="BM107" s="250">
        <f t="shared" si="126"/>
        <v>0</v>
      </c>
      <c r="BN107" s="250">
        <f t="shared" si="126"/>
        <v>0</v>
      </c>
      <c r="BO107" s="250">
        <f t="shared" si="126"/>
        <v>0</v>
      </c>
      <c r="BP107" s="250">
        <f t="shared" si="126"/>
        <v>0</v>
      </c>
      <c r="BQ107" s="250">
        <f t="shared" si="126"/>
        <v>0</v>
      </c>
      <c r="BR107" s="250">
        <f t="shared" si="126"/>
        <v>0</v>
      </c>
      <c r="BS107" s="250">
        <f t="shared" si="126"/>
        <v>0</v>
      </c>
      <c r="BT107" s="250">
        <f t="shared" si="126"/>
        <v>0</v>
      </c>
      <c r="BU107" s="250">
        <f t="shared" si="126"/>
        <v>0</v>
      </c>
      <c r="BV107" s="250">
        <f t="shared" si="126"/>
        <v>0</v>
      </c>
      <c r="BW107" s="248">
        <f t="shared" si="118"/>
        <v>0</v>
      </c>
      <c r="BX107" s="248">
        <f t="shared" si="119"/>
        <v>0</v>
      </c>
      <c r="BY107" s="248">
        <f t="shared" si="120"/>
        <v>0</v>
      </c>
      <c r="BZ107" s="248">
        <f t="shared" si="121"/>
        <v>0</v>
      </c>
      <c r="CA107" s="248">
        <f t="shared" si="122"/>
        <v>0</v>
      </c>
      <c r="CB107" s="248">
        <f t="shared" si="123"/>
        <v>0</v>
      </c>
      <c r="CC107" s="248">
        <f t="shared" si="124"/>
        <v>0</v>
      </c>
      <c r="CD107" s="518">
        <f>'10'!T86</f>
        <v>0</v>
      </c>
    </row>
    <row r="108" spans="1:82" s="65" customFormat="1">
      <c r="A108" s="239" t="s">
        <v>952</v>
      </c>
      <c r="B108" s="238" t="s">
        <v>954</v>
      </c>
      <c r="C108" s="202" t="s">
        <v>876</v>
      </c>
      <c r="D108" s="163" t="s">
        <v>876</v>
      </c>
      <c r="E108" s="252">
        <v>0</v>
      </c>
      <c r="F108" s="252">
        <v>0</v>
      </c>
      <c r="G108" s="252">
        <v>0</v>
      </c>
      <c r="H108" s="252">
        <v>0</v>
      </c>
      <c r="I108" s="252">
        <v>0</v>
      </c>
      <c r="J108" s="252">
        <v>0</v>
      </c>
      <c r="K108" s="252">
        <v>0</v>
      </c>
      <c r="L108" s="250">
        <f t="shared" ref="L108:AM108" si="127">L109+L110</f>
        <v>0</v>
      </c>
      <c r="M108" s="250">
        <f t="shared" si="127"/>
        <v>0</v>
      </c>
      <c r="N108" s="250">
        <f t="shared" si="127"/>
        <v>0</v>
      </c>
      <c r="O108" s="250">
        <f t="shared" si="127"/>
        <v>0</v>
      </c>
      <c r="P108" s="250">
        <f t="shared" si="127"/>
        <v>0</v>
      </c>
      <c r="Q108" s="250">
        <f t="shared" si="127"/>
        <v>0</v>
      </c>
      <c r="R108" s="250">
        <f t="shared" si="127"/>
        <v>0</v>
      </c>
      <c r="S108" s="250">
        <f t="shared" si="127"/>
        <v>0</v>
      </c>
      <c r="T108" s="250">
        <f t="shared" si="127"/>
        <v>0</v>
      </c>
      <c r="U108" s="250">
        <f t="shared" si="127"/>
        <v>0</v>
      </c>
      <c r="V108" s="250">
        <f t="shared" si="127"/>
        <v>0</v>
      </c>
      <c r="W108" s="250">
        <f t="shared" si="127"/>
        <v>0</v>
      </c>
      <c r="X108" s="250">
        <f t="shared" si="127"/>
        <v>0</v>
      </c>
      <c r="Y108" s="250">
        <f t="shared" si="127"/>
        <v>0</v>
      </c>
      <c r="Z108" s="250">
        <f t="shared" si="127"/>
        <v>0</v>
      </c>
      <c r="AA108" s="250">
        <f t="shared" si="127"/>
        <v>0</v>
      </c>
      <c r="AB108" s="250">
        <f t="shared" si="127"/>
        <v>0</v>
      </c>
      <c r="AC108" s="250">
        <f t="shared" si="127"/>
        <v>0</v>
      </c>
      <c r="AD108" s="250">
        <f t="shared" si="127"/>
        <v>0</v>
      </c>
      <c r="AE108" s="250">
        <f t="shared" si="127"/>
        <v>0</v>
      </c>
      <c r="AF108" s="250">
        <f t="shared" si="127"/>
        <v>0</v>
      </c>
      <c r="AG108" s="250">
        <f t="shared" si="127"/>
        <v>0</v>
      </c>
      <c r="AH108" s="250">
        <f t="shared" si="127"/>
        <v>0</v>
      </c>
      <c r="AI108" s="250">
        <f t="shared" si="127"/>
        <v>0</v>
      </c>
      <c r="AJ108" s="250">
        <f t="shared" si="127"/>
        <v>0</v>
      </c>
      <c r="AK108" s="250">
        <f t="shared" si="127"/>
        <v>0</v>
      </c>
      <c r="AL108" s="250">
        <f t="shared" si="127"/>
        <v>0</v>
      </c>
      <c r="AM108" s="250">
        <f t="shared" si="127"/>
        <v>0</v>
      </c>
      <c r="AN108" s="248">
        <f t="shared" si="110"/>
        <v>0</v>
      </c>
      <c r="AO108" s="248">
        <f t="shared" si="111"/>
        <v>0</v>
      </c>
      <c r="AP108" s="248">
        <f t="shared" si="112"/>
        <v>0</v>
      </c>
      <c r="AQ108" s="248">
        <f t="shared" si="113"/>
        <v>0</v>
      </c>
      <c r="AR108" s="248">
        <f t="shared" si="114"/>
        <v>0</v>
      </c>
      <c r="AS108" s="248">
        <f t="shared" si="115"/>
        <v>0</v>
      </c>
      <c r="AT108" s="248">
        <f t="shared" si="116"/>
        <v>0</v>
      </c>
      <c r="AU108" s="250">
        <f t="shared" ref="AU108:BV108" si="128">AU109+AU110</f>
        <v>0</v>
      </c>
      <c r="AV108" s="250">
        <f t="shared" si="128"/>
        <v>0</v>
      </c>
      <c r="AW108" s="250">
        <f t="shared" si="128"/>
        <v>0</v>
      </c>
      <c r="AX108" s="250">
        <f t="shared" si="128"/>
        <v>0</v>
      </c>
      <c r="AY108" s="250">
        <f t="shared" si="128"/>
        <v>0</v>
      </c>
      <c r="AZ108" s="250">
        <f t="shared" si="128"/>
        <v>0</v>
      </c>
      <c r="BA108" s="250">
        <f t="shared" si="128"/>
        <v>0</v>
      </c>
      <c r="BB108" s="250">
        <f t="shared" si="128"/>
        <v>0</v>
      </c>
      <c r="BC108" s="250">
        <f t="shared" si="128"/>
        <v>0</v>
      </c>
      <c r="BD108" s="250">
        <f t="shared" si="128"/>
        <v>0</v>
      </c>
      <c r="BE108" s="250">
        <f t="shared" si="128"/>
        <v>0</v>
      </c>
      <c r="BF108" s="250">
        <f t="shared" si="128"/>
        <v>0</v>
      </c>
      <c r="BG108" s="250">
        <f t="shared" si="128"/>
        <v>0</v>
      </c>
      <c r="BH108" s="250">
        <f t="shared" si="128"/>
        <v>0</v>
      </c>
      <c r="BI108" s="250">
        <f t="shared" si="128"/>
        <v>0</v>
      </c>
      <c r="BJ108" s="250">
        <f t="shared" si="128"/>
        <v>0</v>
      </c>
      <c r="BK108" s="250">
        <f t="shared" si="128"/>
        <v>0</v>
      </c>
      <c r="BL108" s="250">
        <f t="shared" si="128"/>
        <v>0</v>
      </c>
      <c r="BM108" s="250">
        <f t="shared" si="128"/>
        <v>0</v>
      </c>
      <c r="BN108" s="250">
        <f t="shared" si="128"/>
        <v>0</v>
      </c>
      <c r="BO108" s="250">
        <f t="shared" si="128"/>
        <v>0</v>
      </c>
      <c r="BP108" s="250">
        <f t="shared" si="128"/>
        <v>0</v>
      </c>
      <c r="BQ108" s="250">
        <f t="shared" si="128"/>
        <v>0</v>
      </c>
      <c r="BR108" s="250">
        <f t="shared" si="128"/>
        <v>0</v>
      </c>
      <c r="BS108" s="250">
        <f t="shared" si="128"/>
        <v>0</v>
      </c>
      <c r="BT108" s="250">
        <f t="shared" si="128"/>
        <v>0</v>
      </c>
      <c r="BU108" s="250">
        <f t="shared" si="128"/>
        <v>0</v>
      </c>
      <c r="BV108" s="250">
        <f t="shared" si="128"/>
        <v>0</v>
      </c>
      <c r="BW108" s="248">
        <f t="shared" si="118"/>
        <v>0</v>
      </c>
      <c r="BX108" s="248">
        <f t="shared" si="119"/>
        <v>0</v>
      </c>
      <c r="BY108" s="248">
        <f t="shared" si="120"/>
        <v>0</v>
      </c>
      <c r="BZ108" s="248">
        <f t="shared" si="121"/>
        <v>0</v>
      </c>
      <c r="CA108" s="248">
        <f t="shared" si="122"/>
        <v>0</v>
      </c>
      <c r="CB108" s="248">
        <f t="shared" si="123"/>
        <v>0</v>
      </c>
      <c r="CC108" s="248">
        <f t="shared" si="124"/>
        <v>0</v>
      </c>
      <c r="CD108" s="518">
        <f>'10'!T87</f>
        <v>0</v>
      </c>
    </row>
    <row r="109" spans="1:82" s="65" customFormat="1" ht="63">
      <c r="A109" s="239" t="s">
        <v>955</v>
      </c>
      <c r="B109" s="241" t="s">
        <v>956</v>
      </c>
      <c r="C109" s="204" t="s">
        <v>957</v>
      </c>
      <c r="D109" s="163" t="s">
        <v>876</v>
      </c>
      <c r="E109" s="252">
        <v>0</v>
      </c>
      <c r="F109" s="252">
        <v>0</v>
      </c>
      <c r="G109" s="252">
        <v>0</v>
      </c>
      <c r="H109" s="252">
        <v>0</v>
      </c>
      <c r="I109" s="252">
        <v>0</v>
      </c>
      <c r="J109" s="252">
        <v>0</v>
      </c>
      <c r="K109" s="252">
        <v>0</v>
      </c>
      <c r="L109" s="250">
        <v>0</v>
      </c>
      <c r="M109" s="250">
        <v>0</v>
      </c>
      <c r="N109" s="250">
        <v>0</v>
      </c>
      <c r="O109" s="250">
        <v>0</v>
      </c>
      <c r="P109" s="250">
        <v>0</v>
      </c>
      <c r="Q109" s="250">
        <v>0</v>
      </c>
      <c r="R109" s="250">
        <v>0</v>
      </c>
      <c r="S109" s="250">
        <v>0</v>
      </c>
      <c r="T109" s="250">
        <v>0</v>
      </c>
      <c r="U109" s="250">
        <v>0</v>
      </c>
      <c r="V109" s="250">
        <v>0</v>
      </c>
      <c r="W109" s="250">
        <v>0</v>
      </c>
      <c r="X109" s="250">
        <v>0</v>
      </c>
      <c r="Y109" s="250">
        <v>0</v>
      </c>
      <c r="Z109" s="250">
        <v>0</v>
      </c>
      <c r="AA109" s="250">
        <v>0</v>
      </c>
      <c r="AB109" s="250">
        <v>0</v>
      </c>
      <c r="AC109" s="250">
        <v>0</v>
      </c>
      <c r="AD109" s="250">
        <v>0</v>
      </c>
      <c r="AE109" s="250">
        <v>0</v>
      </c>
      <c r="AF109" s="250">
        <v>0</v>
      </c>
      <c r="AG109" s="250">
        <v>0</v>
      </c>
      <c r="AH109" s="250">
        <v>0</v>
      </c>
      <c r="AI109" s="250">
        <v>0</v>
      </c>
      <c r="AJ109" s="250">
        <v>0</v>
      </c>
      <c r="AK109" s="250">
        <v>0</v>
      </c>
      <c r="AL109" s="250">
        <v>0</v>
      </c>
      <c r="AM109" s="250">
        <v>0</v>
      </c>
      <c r="AN109" s="248">
        <f t="shared" si="110"/>
        <v>0</v>
      </c>
      <c r="AO109" s="248">
        <f t="shared" si="111"/>
        <v>0</v>
      </c>
      <c r="AP109" s="248">
        <f t="shared" si="112"/>
        <v>0</v>
      </c>
      <c r="AQ109" s="248">
        <f t="shared" si="113"/>
        <v>0</v>
      </c>
      <c r="AR109" s="248">
        <f t="shared" si="114"/>
        <v>0</v>
      </c>
      <c r="AS109" s="248">
        <f t="shared" si="115"/>
        <v>0</v>
      </c>
      <c r="AT109" s="248">
        <f t="shared" si="116"/>
        <v>0</v>
      </c>
      <c r="AU109" s="250">
        <v>0</v>
      </c>
      <c r="AV109" s="250">
        <v>0</v>
      </c>
      <c r="AW109" s="250">
        <v>0</v>
      </c>
      <c r="AX109" s="250">
        <v>0</v>
      </c>
      <c r="AY109" s="250">
        <v>0</v>
      </c>
      <c r="AZ109" s="250">
        <v>0</v>
      </c>
      <c r="BA109" s="250">
        <v>0</v>
      </c>
      <c r="BB109" s="250">
        <v>0</v>
      </c>
      <c r="BC109" s="250">
        <v>0</v>
      </c>
      <c r="BD109" s="250">
        <v>0</v>
      </c>
      <c r="BE109" s="250">
        <v>0</v>
      </c>
      <c r="BF109" s="250">
        <v>0</v>
      </c>
      <c r="BG109" s="250">
        <v>0</v>
      </c>
      <c r="BH109" s="250">
        <v>0</v>
      </c>
      <c r="BI109" s="250">
        <v>0</v>
      </c>
      <c r="BJ109" s="250">
        <v>0</v>
      </c>
      <c r="BK109" s="250">
        <v>0</v>
      </c>
      <c r="BL109" s="250">
        <v>0</v>
      </c>
      <c r="BM109" s="250">
        <v>0</v>
      </c>
      <c r="BN109" s="250">
        <v>0</v>
      </c>
      <c r="BO109" s="250">
        <v>0</v>
      </c>
      <c r="BP109" s="250">
        <v>0</v>
      </c>
      <c r="BQ109" s="250">
        <v>0</v>
      </c>
      <c r="BR109" s="250">
        <v>0</v>
      </c>
      <c r="BS109" s="250">
        <v>0</v>
      </c>
      <c r="BT109" s="250">
        <v>0</v>
      </c>
      <c r="BU109" s="250">
        <v>0</v>
      </c>
      <c r="BV109" s="250">
        <v>0</v>
      </c>
      <c r="BW109" s="248">
        <f t="shared" si="118"/>
        <v>0</v>
      </c>
      <c r="BX109" s="248">
        <f t="shared" si="119"/>
        <v>0</v>
      </c>
      <c r="BY109" s="248">
        <f t="shared" si="120"/>
        <v>0</v>
      </c>
      <c r="BZ109" s="248">
        <f t="shared" si="121"/>
        <v>0</v>
      </c>
      <c r="CA109" s="248">
        <f t="shared" si="122"/>
        <v>0</v>
      </c>
      <c r="CB109" s="248">
        <f t="shared" si="123"/>
        <v>0</v>
      </c>
      <c r="CC109" s="248">
        <f t="shared" si="124"/>
        <v>0</v>
      </c>
      <c r="CD109" s="518">
        <f>'10'!T88</f>
        <v>0</v>
      </c>
    </row>
    <row r="110" spans="1:82" s="65" customFormat="1" ht="47.25">
      <c r="A110" s="239" t="s">
        <v>958</v>
      </c>
      <c r="B110" s="241" t="s">
        <v>959</v>
      </c>
      <c r="C110" s="204" t="s">
        <v>876</v>
      </c>
      <c r="D110" s="163" t="s">
        <v>876</v>
      </c>
      <c r="E110" s="252">
        <v>0</v>
      </c>
      <c r="F110" s="252">
        <v>0</v>
      </c>
      <c r="G110" s="252">
        <v>0</v>
      </c>
      <c r="H110" s="252">
        <v>0</v>
      </c>
      <c r="I110" s="252">
        <v>0</v>
      </c>
      <c r="J110" s="252">
        <v>0</v>
      </c>
      <c r="K110" s="252">
        <v>0</v>
      </c>
      <c r="L110" s="250">
        <f t="shared" ref="L110:AM110" si="129">L111+L112+L113+L114</f>
        <v>0</v>
      </c>
      <c r="M110" s="250">
        <f t="shared" si="129"/>
        <v>0</v>
      </c>
      <c r="N110" s="250">
        <f t="shared" si="129"/>
        <v>0</v>
      </c>
      <c r="O110" s="250">
        <f t="shared" si="129"/>
        <v>0</v>
      </c>
      <c r="P110" s="250">
        <f t="shared" si="129"/>
        <v>0</v>
      </c>
      <c r="Q110" s="250">
        <f t="shared" si="129"/>
        <v>0</v>
      </c>
      <c r="R110" s="250">
        <f t="shared" si="129"/>
        <v>0</v>
      </c>
      <c r="S110" s="250">
        <f t="shared" si="129"/>
        <v>0</v>
      </c>
      <c r="T110" s="250">
        <f t="shared" si="129"/>
        <v>0</v>
      </c>
      <c r="U110" s="250">
        <f t="shared" si="129"/>
        <v>0</v>
      </c>
      <c r="V110" s="250">
        <f t="shared" si="129"/>
        <v>0</v>
      </c>
      <c r="W110" s="250">
        <f t="shared" si="129"/>
        <v>0</v>
      </c>
      <c r="X110" s="250">
        <f t="shared" si="129"/>
        <v>0</v>
      </c>
      <c r="Y110" s="250">
        <f t="shared" si="129"/>
        <v>0</v>
      </c>
      <c r="Z110" s="250">
        <f t="shared" si="129"/>
        <v>0</v>
      </c>
      <c r="AA110" s="250">
        <f t="shared" si="129"/>
        <v>0</v>
      </c>
      <c r="AB110" s="250">
        <f t="shared" si="129"/>
        <v>0</v>
      </c>
      <c r="AC110" s="250">
        <f t="shared" si="129"/>
        <v>0</v>
      </c>
      <c r="AD110" s="250">
        <f t="shared" si="129"/>
        <v>0</v>
      </c>
      <c r="AE110" s="250">
        <f t="shared" si="129"/>
        <v>0</v>
      </c>
      <c r="AF110" s="250">
        <f t="shared" si="129"/>
        <v>0</v>
      </c>
      <c r="AG110" s="250">
        <f t="shared" si="129"/>
        <v>0</v>
      </c>
      <c r="AH110" s="250">
        <f t="shared" si="129"/>
        <v>0</v>
      </c>
      <c r="AI110" s="250">
        <f t="shared" si="129"/>
        <v>0</v>
      </c>
      <c r="AJ110" s="250">
        <f t="shared" si="129"/>
        <v>0</v>
      </c>
      <c r="AK110" s="250">
        <f t="shared" si="129"/>
        <v>0</v>
      </c>
      <c r="AL110" s="250">
        <f t="shared" si="129"/>
        <v>0</v>
      </c>
      <c r="AM110" s="250">
        <f t="shared" si="129"/>
        <v>0</v>
      </c>
      <c r="AN110" s="248">
        <f t="shared" si="110"/>
        <v>0</v>
      </c>
      <c r="AO110" s="248">
        <f t="shared" si="111"/>
        <v>0</v>
      </c>
      <c r="AP110" s="248">
        <f t="shared" si="112"/>
        <v>0</v>
      </c>
      <c r="AQ110" s="248">
        <f t="shared" si="113"/>
        <v>0</v>
      </c>
      <c r="AR110" s="248">
        <f t="shared" si="114"/>
        <v>0</v>
      </c>
      <c r="AS110" s="248">
        <f t="shared" si="115"/>
        <v>0</v>
      </c>
      <c r="AT110" s="248">
        <f t="shared" si="116"/>
        <v>0</v>
      </c>
      <c r="AU110" s="250">
        <f t="shared" ref="AU110:BV110" si="130">AU111+AU112+AU113+AU114</f>
        <v>0</v>
      </c>
      <c r="AV110" s="250">
        <f t="shared" si="130"/>
        <v>0</v>
      </c>
      <c r="AW110" s="250">
        <f t="shared" si="130"/>
        <v>0</v>
      </c>
      <c r="AX110" s="250">
        <f t="shared" si="130"/>
        <v>0</v>
      </c>
      <c r="AY110" s="250">
        <f t="shared" si="130"/>
        <v>0</v>
      </c>
      <c r="AZ110" s="250">
        <f t="shared" si="130"/>
        <v>0</v>
      </c>
      <c r="BA110" s="250">
        <f t="shared" si="130"/>
        <v>0</v>
      </c>
      <c r="BB110" s="250">
        <f t="shared" si="130"/>
        <v>0</v>
      </c>
      <c r="BC110" s="250">
        <f t="shared" si="130"/>
        <v>0</v>
      </c>
      <c r="BD110" s="250">
        <f t="shared" si="130"/>
        <v>0</v>
      </c>
      <c r="BE110" s="250">
        <f t="shared" si="130"/>
        <v>0</v>
      </c>
      <c r="BF110" s="250">
        <f t="shared" si="130"/>
        <v>0</v>
      </c>
      <c r="BG110" s="250">
        <f t="shared" si="130"/>
        <v>0</v>
      </c>
      <c r="BH110" s="250">
        <f t="shared" si="130"/>
        <v>0</v>
      </c>
      <c r="BI110" s="250">
        <f t="shared" si="130"/>
        <v>0</v>
      </c>
      <c r="BJ110" s="250">
        <f t="shared" si="130"/>
        <v>0</v>
      </c>
      <c r="BK110" s="250">
        <f t="shared" si="130"/>
        <v>0</v>
      </c>
      <c r="BL110" s="250">
        <f t="shared" si="130"/>
        <v>0</v>
      </c>
      <c r="BM110" s="250">
        <f t="shared" si="130"/>
        <v>0</v>
      </c>
      <c r="BN110" s="250">
        <f t="shared" si="130"/>
        <v>0</v>
      </c>
      <c r="BO110" s="250">
        <f t="shared" si="130"/>
        <v>0</v>
      </c>
      <c r="BP110" s="250">
        <f t="shared" si="130"/>
        <v>0</v>
      </c>
      <c r="BQ110" s="250">
        <f t="shared" si="130"/>
        <v>0</v>
      </c>
      <c r="BR110" s="250">
        <f t="shared" si="130"/>
        <v>0</v>
      </c>
      <c r="BS110" s="250">
        <f t="shared" si="130"/>
        <v>0</v>
      </c>
      <c r="BT110" s="250">
        <f t="shared" si="130"/>
        <v>0</v>
      </c>
      <c r="BU110" s="250">
        <f t="shared" si="130"/>
        <v>0</v>
      </c>
      <c r="BV110" s="250">
        <f t="shared" si="130"/>
        <v>0</v>
      </c>
      <c r="BW110" s="248">
        <f t="shared" si="118"/>
        <v>0</v>
      </c>
      <c r="BX110" s="248">
        <f t="shared" si="119"/>
        <v>0</v>
      </c>
      <c r="BY110" s="248">
        <f t="shared" si="120"/>
        <v>0</v>
      </c>
      <c r="BZ110" s="248">
        <f t="shared" si="121"/>
        <v>0</v>
      </c>
      <c r="CA110" s="248">
        <f t="shared" si="122"/>
        <v>0</v>
      </c>
      <c r="CB110" s="248">
        <f t="shared" si="123"/>
        <v>0</v>
      </c>
      <c r="CC110" s="248">
        <f t="shared" si="124"/>
        <v>0</v>
      </c>
      <c r="CD110" s="518">
        <f>'10'!T89</f>
        <v>0</v>
      </c>
    </row>
    <row r="111" spans="1:82" s="65" customFormat="1" ht="63">
      <c r="A111" s="239" t="s">
        <v>960</v>
      </c>
      <c r="B111" s="241" t="s">
        <v>961</v>
      </c>
      <c r="C111" s="204" t="s">
        <v>962</v>
      </c>
      <c r="D111" s="163" t="s">
        <v>876</v>
      </c>
      <c r="E111" s="252">
        <v>0</v>
      </c>
      <c r="F111" s="252">
        <v>0</v>
      </c>
      <c r="G111" s="252">
        <v>0</v>
      </c>
      <c r="H111" s="252">
        <v>0</v>
      </c>
      <c r="I111" s="252">
        <v>0</v>
      </c>
      <c r="J111" s="252">
        <v>0</v>
      </c>
      <c r="K111" s="252">
        <v>0</v>
      </c>
      <c r="L111" s="250">
        <v>0</v>
      </c>
      <c r="M111" s="250">
        <v>0</v>
      </c>
      <c r="N111" s="250">
        <v>0</v>
      </c>
      <c r="O111" s="250">
        <v>0</v>
      </c>
      <c r="P111" s="250">
        <v>0</v>
      </c>
      <c r="Q111" s="250">
        <v>0</v>
      </c>
      <c r="R111" s="250">
        <v>0</v>
      </c>
      <c r="S111" s="250">
        <v>0</v>
      </c>
      <c r="T111" s="250">
        <v>0</v>
      </c>
      <c r="U111" s="250">
        <v>0</v>
      </c>
      <c r="V111" s="250">
        <v>0</v>
      </c>
      <c r="W111" s="250">
        <v>0</v>
      </c>
      <c r="X111" s="250">
        <v>0</v>
      </c>
      <c r="Y111" s="250">
        <v>0</v>
      </c>
      <c r="Z111" s="250">
        <v>0</v>
      </c>
      <c r="AA111" s="250">
        <v>0</v>
      </c>
      <c r="AB111" s="250">
        <v>0</v>
      </c>
      <c r="AC111" s="250">
        <v>0</v>
      </c>
      <c r="AD111" s="250">
        <v>0</v>
      </c>
      <c r="AE111" s="250">
        <v>0</v>
      </c>
      <c r="AF111" s="250">
        <v>0</v>
      </c>
      <c r="AG111" s="250">
        <v>0</v>
      </c>
      <c r="AH111" s="250">
        <v>0</v>
      </c>
      <c r="AI111" s="250">
        <v>0</v>
      </c>
      <c r="AJ111" s="250">
        <v>0</v>
      </c>
      <c r="AK111" s="250">
        <v>0</v>
      </c>
      <c r="AL111" s="250">
        <v>0</v>
      </c>
      <c r="AM111" s="250">
        <v>0</v>
      </c>
      <c r="AN111" s="248">
        <f t="shared" si="110"/>
        <v>0</v>
      </c>
      <c r="AO111" s="248">
        <f t="shared" si="111"/>
        <v>0</v>
      </c>
      <c r="AP111" s="248">
        <f t="shared" si="112"/>
        <v>0</v>
      </c>
      <c r="AQ111" s="248">
        <f t="shared" si="113"/>
        <v>0</v>
      </c>
      <c r="AR111" s="248">
        <f t="shared" si="114"/>
        <v>0</v>
      </c>
      <c r="AS111" s="248">
        <f t="shared" si="115"/>
        <v>0</v>
      </c>
      <c r="AT111" s="248">
        <f t="shared" si="116"/>
        <v>0</v>
      </c>
      <c r="AU111" s="250">
        <v>0</v>
      </c>
      <c r="AV111" s="250">
        <v>0</v>
      </c>
      <c r="AW111" s="250">
        <v>0</v>
      </c>
      <c r="AX111" s="250">
        <v>0</v>
      </c>
      <c r="AY111" s="250">
        <v>0</v>
      </c>
      <c r="AZ111" s="250">
        <v>0</v>
      </c>
      <c r="BA111" s="250">
        <v>0</v>
      </c>
      <c r="BB111" s="250">
        <v>0</v>
      </c>
      <c r="BC111" s="250">
        <v>0</v>
      </c>
      <c r="BD111" s="250">
        <v>0</v>
      </c>
      <c r="BE111" s="250">
        <v>0</v>
      </c>
      <c r="BF111" s="250">
        <v>0</v>
      </c>
      <c r="BG111" s="250">
        <v>0</v>
      </c>
      <c r="BH111" s="250">
        <v>0</v>
      </c>
      <c r="BI111" s="250">
        <v>0</v>
      </c>
      <c r="BJ111" s="250">
        <v>0</v>
      </c>
      <c r="BK111" s="250">
        <v>0</v>
      </c>
      <c r="BL111" s="250">
        <v>0</v>
      </c>
      <c r="BM111" s="250">
        <v>0</v>
      </c>
      <c r="BN111" s="250">
        <v>0</v>
      </c>
      <c r="BO111" s="250">
        <v>0</v>
      </c>
      <c r="BP111" s="250">
        <v>0</v>
      </c>
      <c r="BQ111" s="250">
        <v>0</v>
      </c>
      <c r="BR111" s="250">
        <v>0</v>
      </c>
      <c r="BS111" s="250">
        <v>0</v>
      </c>
      <c r="BT111" s="250">
        <v>0</v>
      </c>
      <c r="BU111" s="250">
        <v>0</v>
      </c>
      <c r="BV111" s="250">
        <v>0</v>
      </c>
      <c r="BW111" s="248">
        <f t="shared" si="118"/>
        <v>0</v>
      </c>
      <c r="BX111" s="248">
        <f t="shared" si="119"/>
        <v>0</v>
      </c>
      <c r="BY111" s="248">
        <f t="shared" si="120"/>
        <v>0</v>
      </c>
      <c r="BZ111" s="248">
        <f t="shared" si="121"/>
        <v>0</v>
      </c>
      <c r="CA111" s="248">
        <f t="shared" si="122"/>
        <v>0</v>
      </c>
      <c r="CB111" s="248">
        <f t="shared" si="123"/>
        <v>0</v>
      </c>
      <c r="CC111" s="248">
        <f t="shared" si="124"/>
        <v>0</v>
      </c>
      <c r="CD111" s="518">
        <f>'10'!T90</f>
        <v>0</v>
      </c>
    </row>
    <row r="112" spans="1:82" s="65" customFormat="1" ht="63">
      <c r="A112" s="239" t="s">
        <v>963</v>
      </c>
      <c r="B112" s="241" t="s">
        <v>964</v>
      </c>
      <c r="C112" s="204" t="s">
        <v>965</v>
      </c>
      <c r="D112" s="163" t="s">
        <v>876</v>
      </c>
      <c r="E112" s="252">
        <v>0</v>
      </c>
      <c r="F112" s="252">
        <v>0</v>
      </c>
      <c r="G112" s="252">
        <v>0</v>
      </c>
      <c r="H112" s="252">
        <v>0</v>
      </c>
      <c r="I112" s="252">
        <v>0</v>
      </c>
      <c r="J112" s="252">
        <v>0</v>
      </c>
      <c r="K112" s="252">
        <v>0</v>
      </c>
      <c r="L112" s="250">
        <v>0</v>
      </c>
      <c r="M112" s="250">
        <v>0</v>
      </c>
      <c r="N112" s="250">
        <v>0</v>
      </c>
      <c r="O112" s="250">
        <v>0</v>
      </c>
      <c r="P112" s="250">
        <v>0</v>
      </c>
      <c r="Q112" s="250">
        <v>0</v>
      </c>
      <c r="R112" s="250">
        <v>0</v>
      </c>
      <c r="S112" s="250">
        <v>0</v>
      </c>
      <c r="T112" s="250">
        <v>0</v>
      </c>
      <c r="U112" s="250">
        <v>0</v>
      </c>
      <c r="V112" s="250">
        <v>0</v>
      </c>
      <c r="W112" s="250">
        <v>0</v>
      </c>
      <c r="X112" s="250">
        <v>0</v>
      </c>
      <c r="Y112" s="250">
        <v>0</v>
      </c>
      <c r="Z112" s="250">
        <v>0</v>
      </c>
      <c r="AA112" s="250">
        <v>0</v>
      </c>
      <c r="AB112" s="250">
        <v>0</v>
      </c>
      <c r="AC112" s="250">
        <v>0</v>
      </c>
      <c r="AD112" s="250">
        <v>0</v>
      </c>
      <c r="AE112" s="250">
        <v>0</v>
      </c>
      <c r="AF112" s="250">
        <v>0</v>
      </c>
      <c r="AG112" s="250">
        <v>0</v>
      </c>
      <c r="AH112" s="250">
        <v>0</v>
      </c>
      <c r="AI112" s="250">
        <v>0</v>
      </c>
      <c r="AJ112" s="250">
        <v>0</v>
      </c>
      <c r="AK112" s="250">
        <v>0</v>
      </c>
      <c r="AL112" s="250">
        <v>0</v>
      </c>
      <c r="AM112" s="250">
        <v>0</v>
      </c>
      <c r="AN112" s="248">
        <f t="shared" si="110"/>
        <v>0</v>
      </c>
      <c r="AO112" s="248">
        <f t="shared" si="111"/>
        <v>0</v>
      </c>
      <c r="AP112" s="248">
        <f t="shared" si="112"/>
        <v>0</v>
      </c>
      <c r="AQ112" s="248">
        <f t="shared" si="113"/>
        <v>0</v>
      </c>
      <c r="AR112" s="248">
        <f t="shared" si="114"/>
        <v>0</v>
      </c>
      <c r="AS112" s="248">
        <f t="shared" si="115"/>
        <v>0</v>
      </c>
      <c r="AT112" s="248">
        <f t="shared" si="116"/>
        <v>0</v>
      </c>
      <c r="AU112" s="250">
        <v>0</v>
      </c>
      <c r="AV112" s="250">
        <v>0</v>
      </c>
      <c r="AW112" s="250">
        <v>0</v>
      </c>
      <c r="AX112" s="250">
        <v>0</v>
      </c>
      <c r="AY112" s="250">
        <v>0</v>
      </c>
      <c r="AZ112" s="250">
        <v>0</v>
      </c>
      <c r="BA112" s="250">
        <v>0</v>
      </c>
      <c r="BB112" s="250">
        <v>0</v>
      </c>
      <c r="BC112" s="250">
        <v>0</v>
      </c>
      <c r="BD112" s="250">
        <v>0</v>
      </c>
      <c r="BE112" s="250">
        <v>0</v>
      </c>
      <c r="BF112" s="250">
        <v>0</v>
      </c>
      <c r="BG112" s="250">
        <v>0</v>
      </c>
      <c r="BH112" s="250">
        <v>0</v>
      </c>
      <c r="BI112" s="250">
        <v>0</v>
      </c>
      <c r="BJ112" s="250">
        <v>0</v>
      </c>
      <c r="BK112" s="250">
        <v>0</v>
      </c>
      <c r="BL112" s="250">
        <v>0</v>
      </c>
      <c r="BM112" s="250">
        <v>0</v>
      </c>
      <c r="BN112" s="250">
        <v>0</v>
      </c>
      <c r="BO112" s="250">
        <v>0</v>
      </c>
      <c r="BP112" s="250">
        <v>0</v>
      </c>
      <c r="BQ112" s="250">
        <v>0</v>
      </c>
      <c r="BR112" s="250">
        <v>0</v>
      </c>
      <c r="BS112" s="250">
        <v>0</v>
      </c>
      <c r="BT112" s="250">
        <v>0</v>
      </c>
      <c r="BU112" s="250">
        <v>0</v>
      </c>
      <c r="BV112" s="250">
        <v>0</v>
      </c>
      <c r="BW112" s="248">
        <f t="shared" si="118"/>
        <v>0</v>
      </c>
      <c r="BX112" s="248">
        <f t="shared" si="119"/>
        <v>0</v>
      </c>
      <c r="BY112" s="248">
        <f t="shared" si="120"/>
        <v>0</v>
      </c>
      <c r="BZ112" s="248">
        <f t="shared" si="121"/>
        <v>0</v>
      </c>
      <c r="CA112" s="248">
        <f t="shared" si="122"/>
        <v>0</v>
      </c>
      <c r="CB112" s="248">
        <f t="shared" si="123"/>
        <v>0</v>
      </c>
      <c r="CC112" s="248">
        <f t="shared" si="124"/>
        <v>0</v>
      </c>
      <c r="CD112" s="518">
        <f>'10'!T91</f>
        <v>0</v>
      </c>
    </row>
    <row r="113" spans="1:82" s="65" customFormat="1" ht="63">
      <c r="A113" s="239" t="s">
        <v>966</v>
      </c>
      <c r="B113" s="241" t="s">
        <v>967</v>
      </c>
      <c r="C113" s="204" t="s">
        <v>968</v>
      </c>
      <c r="D113" s="163" t="s">
        <v>876</v>
      </c>
      <c r="E113" s="252">
        <v>0</v>
      </c>
      <c r="F113" s="252">
        <v>0</v>
      </c>
      <c r="G113" s="252">
        <v>0</v>
      </c>
      <c r="H113" s="252">
        <v>0</v>
      </c>
      <c r="I113" s="252">
        <v>0</v>
      </c>
      <c r="J113" s="252">
        <v>0</v>
      </c>
      <c r="K113" s="252">
        <v>0</v>
      </c>
      <c r="L113" s="250">
        <v>0</v>
      </c>
      <c r="M113" s="250">
        <v>0</v>
      </c>
      <c r="N113" s="250">
        <v>0</v>
      </c>
      <c r="O113" s="250">
        <v>0</v>
      </c>
      <c r="P113" s="250">
        <v>0</v>
      </c>
      <c r="Q113" s="250">
        <v>0</v>
      </c>
      <c r="R113" s="250">
        <v>0</v>
      </c>
      <c r="S113" s="250">
        <v>0</v>
      </c>
      <c r="T113" s="250">
        <v>0</v>
      </c>
      <c r="U113" s="250">
        <v>0</v>
      </c>
      <c r="V113" s="250">
        <v>0</v>
      </c>
      <c r="W113" s="250">
        <v>0</v>
      </c>
      <c r="X113" s="250">
        <v>0</v>
      </c>
      <c r="Y113" s="250">
        <v>0</v>
      </c>
      <c r="Z113" s="250">
        <v>0</v>
      </c>
      <c r="AA113" s="250">
        <v>0</v>
      </c>
      <c r="AB113" s="250">
        <v>0</v>
      </c>
      <c r="AC113" s="250">
        <v>0</v>
      </c>
      <c r="AD113" s="250">
        <v>0</v>
      </c>
      <c r="AE113" s="250">
        <v>0</v>
      </c>
      <c r="AF113" s="250">
        <v>0</v>
      </c>
      <c r="AG113" s="250">
        <v>0</v>
      </c>
      <c r="AH113" s="250">
        <v>0</v>
      </c>
      <c r="AI113" s="250">
        <v>0</v>
      </c>
      <c r="AJ113" s="250">
        <v>0</v>
      </c>
      <c r="AK113" s="250">
        <v>0</v>
      </c>
      <c r="AL113" s="250">
        <v>0</v>
      </c>
      <c r="AM113" s="250">
        <v>0</v>
      </c>
      <c r="AN113" s="248">
        <f t="shared" si="110"/>
        <v>0</v>
      </c>
      <c r="AO113" s="248">
        <f t="shared" si="111"/>
        <v>0</v>
      </c>
      <c r="AP113" s="248">
        <f t="shared" si="112"/>
        <v>0</v>
      </c>
      <c r="AQ113" s="248">
        <f t="shared" si="113"/>
        <v>0</v>
      </c>
      <c r="AR113" s="248">
        <f t="shared" si="114"/>
        <v>0</v>
      </c>
      <c r="AS113" s="248">
        <f t="shared" si="115"/>
        <v>0</v>
      </c>
      <c r="AT113" s="248">
        <f t="shared" si="116"/>
        <v>0</v>
      </c>
      <c r="AU113" s="250">
        <v>0</v>
      </c>
      <c r="AV113" s="250">
        <v>0</v>
      </c>
      <c r="AW113" s="250">
        <v>0</v>
      </c>
      <c r="AX113" s="250">
        <v>0</v>
      </c>
      <c r="AY113" s="250">
        <v>0</v>
      </c>
      <c r="AZ113" s="250">
        <v>0</v>
      </c>
      <c r="BA113" s="250">
        <v>0</v>
      </c>
      <c r="BB113" s="250">
        <v>0</v>
      </c>
      <c r="BC113" s="250">
        <v>0</v>
      </c>
      <c r="BD113" s="250">
        <v>0</v>
      </c>
      <c r="BE113" s="250">
        <v>0</v>
      </c>
      <c r="BF113" s="250">
        <v>0</v>
      </c>
      <c r="BG113" s="250">
        <v>0</v>
      </c>
      <c r="BH113" s="250">
        <v>0</v>
      </c>
      <c r="BI113" s="250">
        <v>0</v>
      </c>
      <c r="BJ113" s="250">
        <v>0</v>
      </c>
      <c r="BK113" s="250">
        <v>0</v>
      </c>
      <c r="BL113" s="250">
        <v>0</v>
      </c>
      <c r="BM113" s="250">
        <v>0</v>
      </c>
      <c r="BN113" s="250">
        <v>0</v>
      </c>
      <c r="BO113" s="250">
        <v>0</v>
      </c>
      <c r="BP113" s="250">
        <v>0</v>
      </c>
      <c r="BQ113" s="250">
        <v>0</v>
      </c>
      <c r="BR113" s="250">
        <v>0</v>
      </c>
      <c r="BS113" s="250">
        <v>0</v>
      </c>
      <c r="BT113" s="250">
        <v>0</v>
      </c>
      <c r="BU113" s="250">
        <v>0</v>
      </c>
      <c r="BV113" s="250">
        <v>0</v>
      </c>
      <c r="BW113" s="248">
        <f t="shared" si="118"/>
        <v>0</v>
      </c>
      <c r="BX113" s="248">
        <f t="shared" si="119"/>
        <v>0</v>
      </c>
      <c r="BY113" s="248">
        <f t="shared" si="120"/>
        <v>0</v>
      </c>
      <c r="BZ113" s="248">
        <f t="shared" si="121"/>
        <v>0</v>
      </c>
      <c r="CA113" s="248">
        <f t="shared" si="122"/>
        <v>0</v>
      </c>
      <c r="CB113" s="248">
        <f t="shared" si="123"/>
        <v>0</v>
      </c>
      <c r="CC113" s="248">
        <f t="shared" si="124"/>
        <v>0</v>
      </c>
      <c r="CD113" s="518">
        <f>'10'!T92</f>
        <v>0</v>
      </c>
    </row>
    <row r="114" spans="1:82" s="65" customFormat="1" ht="78.75">
      <c r="A114" s="239" t="s">
        <v>969</v>
      </c>
      <c r="B114" s="241" t="s">
        <v>970</v>
      </c>
      <c r="C114" s="204" t="s">
        <v>971</v>
      </c>
      <c r="D114" s="163" t="s">
        <v>876</v>
      </c>
      <c r="E114" s="252">
        <v>0</v>
      </c>
      <c r="F114" s="252">
        <v>0</v>
      </c>
      <c r="G114" s="252">
        <v>0</v>
      </c>
      <c r="H114" s="252">
        <v>0</v>
      </c>
      <c r="I114" s="252">
        <v>0</v>
      </c>
      <c r="J114" s="252">
        <v>0</v>
      </c>
      <c r="K114" s="252">
        <v>0</v>
      </c>
      <c r="L114" s="250">
        <v>0</v>
      </c>
      <c r="M114" s="250">
        <v>0</v>
      </c>
      <c r="N114" s="250">
        <v>0</v>
      </c>
      <c r="O114" s="250">
        <v>0</v>
      </c>
      <c r="P114" s="250">
        <v>0</v>
      </c>
      <c r="Q114" s="250">
        <v>0</v>
      </c>
      <c r="R114" s="250">
        <v>0</v>
      </c>
      <c r="S114" s="250">
        <v>0</v>
      </c>
      <c r="T114" s="250">
        <v>0</v>
      </c>
      <c r="U114" s="250">
        <v>0</v>
      </c>
      <c r="V114" s="250">
        <v>0</v>
      </c>
      <c r="W114" s="250">
        <v>0</v>
      </c>
      <c r="X114" s="250">
        <v>0</v>
      </c>
      <c r="Y114" s="250">
        <v>0</v>
      </c>
      <c r="Z114" s="250">
        <v>0</v>
      </c>
      <c r="AA114" s="250">
        <v>0</v>
      </c>
      <c r="AB114" s="250">
        <v>0</v>
      </c>
      <c r="AC114" s="250">
        <v>0</v>
      </c>
      <c r="AD114" s="250">
        <v>0</v>
      </c>
      <c r="AE114" s="250">
        <v>0</v>
      </c>
      <c r="AF114" s="250">
        <v>0</v>
      </c>
      <c r="AG114" s="250">
        <v>0</v>
      </c>
      <c r="AH114" s="250">
        <v>0</v>
      </c>
      <c r="AI114" s="250">
        <v>0</v>
      </c>
      <c r="AJ114" s="250">
        <v>0</v>
      </c>
      <c r="AK114" s="250">
        <v>0</v>
      </c>
      <c r="AL114" s="250">
        <v>0</v>
      </c>
      <c r="AM114" s="250">
        <v>0</v>
      </c>
      <c r="AN114" s="248">
        <f t="shared" si="110"/>
        <v>0</v>
      </c>
      <c r="AO114" s="248">
        <f t="shared" si="111"/>
        <v>0</v>
      </c>
      <c r="AP114" s="248">
        <f t="shared" si="112"/>
        <v>0</v>
      </c>
      <c r="AQ114" s="248">
        <f t="shared" si="113"/>
        <v>0</v>
      </c>
      <c r="AR114" s="248">
        <f t="shared" si="114"/>
        <v>0</v>
      </c>
      <c r="AS114" s="248">
        <f t="shared" si="115"/>
        <v>0</v>
      </c>
      <c r="AT114" s="248">
        <f t="shared" si="116"/>
        <v>0</v>
      </c>
      <c r="AU114" s="250">
        <v>0</v>
      </c>
      <c r="AV114" s="250">
        <v>0</v>
      </c>
      <c r="AW114" s="250">
        <v>0</v>
      </c>
      <c r="AX114" s="250">
        <v>0</v>
      </c>
      <c r="AY114" s="250">
        <v>0</v>
      </c>
      <c r="AZ114" s="250">
        <v>0</v>
      </c>
      <c r="BA114" s="250">
        <v>0</v>
      </c>
      <c r="BB114" s="250">
        <v>0</v>
      </c>
      <c r="BC114" s="250">
        <v>0</v>
      </c>
      <c r="BD114" s="250">
        <v>0</v>
      </c>
      <c r="BE114" s="250">
        <v>0</v>
      </c>
      <c r="BF114" s="250">
        <v>0</v>
      </c>
      <c r="BG114" s="250">
        <v>0</v>
      </c>
      <c r="BH114" s="250">
        <v>0</v>
      </c>
      <c r="BI114" s="250">
        <v>0</v>
      </c>
      <c r="BJ114" s="250">
        <v>0</v>
      </c>
      <c r="BK114" s="250">
        <v>0</v>
      </c>
      <c r="BL114" s="250">
        <v>0</v>
      </c>
      <c r="BM114" s="250">
        <v>0</v>
      </c>
      <c r="BN114" s="250">
        <v>0</v>
      </c>
      <c r="BO114" s="250">
        <v>0</v>
      </c>
      <c r="BP114" s="250">
        <v>0</v>
      </c>
      <c r="BQ114" s="250">
        <v>0</v>
      </c>
      <c r="BR114" s="250">
        <v>0</v>
      </c>
      <c r="BS114" s="250">
        <v>0</v>
      </c>
      <c r="BT114" s="250">
        <v>0</v>
      </c>
      <c r="BU114" s="250">
        <v>0</v>
      </c>
      <c r="BV114" s="250">
        <v>0</v>
      </c>
      <c r="BW114" s="248">
        <f t="shared" si="118"/>
        <v>0</v>
      </c>
      <c r="BX114" s="248">
        <f t="shared" si="119"/>
        <v>0</v>
      </c>
      <c r="BY114" s="248">
        <f t="shared" si="120"/>
        <v>0</v>
      </c>
      <c r="BZ114" s="248">
        <f t="shared" si="121"/>
        <v>0</v>
      </c>
      <c r="CA114" s="248">
        <f t="shared" si="122"/>
        <v>0</v>
      </c>
      <c r="CB114" s="248">
        <f t="shared" si="123"/>
        <v>0</v>
      </c>
      <c r="CC114" s="248">
        <f t="shared" si="124"/>
        <v>0</v>
      </c>
      <c r="CD114" s="518">
        <f>'10'!T93</f>
        <v>0</v>
      </c>
    </row>
    <row r="115" spans="1:82" s="65" customFormat="1" ht="47.25" customHeight="1">
      <c r="A115" s="713" t="s">
        <v>21</v>
      </c>
      <c r="B115" s="713"/>
      <c r="C115" s="713"/>
      <c r="D115" s="220" t="str">
        <f>D23</f>
        <v>нд</v>
      </c>
      <c r="E115" s="248">
        <f t="shared" ref="E115:BP115" si="131">E23</f>
        <v>0.25</v>
      </c>
      <c r="F115" s="248">
        <f t="shared" si="131"/>
        <v>0</v>
      </c>
      <c r="G115" s="248">
        <f t="shared" si="131"/>
        <v>4.6349999999999998</v>
      </c>
      <c r="H115" s="248">
        <f t="shared" si="131"/>
        <v>0</v>
      </c>
      <c r="I115" s="248">
        <f t="shared" si="131"/>
        <v>0</v>
      </c>
      <c r="J115" s="248">
        <f t="shared" si="131"/>
        <v>0</v>
      </c>
      <c r="K115" s="248">
        <f t="shared" si="131"/>
        <v>0</v>
      </c>
      <c r="L115" s="248">
        <f t="shared" si="131"/>
        <v>0</v>
      </c>
      <c r="M115" s="248">
        <f t="shared" si="131"/>
        <v>0</v>
      </c>
      <c r="N115" s="248">
        <f t="shared" si="131"/>
        <v>0</v>
      </c>
      <c r="O115" s="248">
        <f t="shared" si="131"/>
        <v>0</v>
      </c>
      <c r="P115" s="248">
        <f t="shared" si="131"/>
        <v>0</v>
      </c>
      <c r="Q115" s="248">
        <f t="shared" si="131"/>
        <v>0</v>
      </c>
      <c r="R115" s="248">
        <f t="shared" si="131"/>
        <v>0</v>
      </c>
      <c r="S115" s="248">
        <f t="shared" si="131"/>
        <v>0</v>
      </c>
      <c r="T115" s="248">
        <f t="shared" si="131"/>
        <v>0</v>
      </c>
      <c r="U115" s="248">
        <f t="shared" si="131"/>
        <v>0</v>
      </c>
      <c r="V115" s="248">
        <f t="shared" si="131"/>
        <v>0</v>
      </c>
      <c r="W115" s="248">
        <f t="shared" si="131"/>
        <v>0</v>
      </c>
      <c r="X115" s="248">
        <f t="shared" si="131"/>
        <v>0</v>
      </c>
      <c r="Y115" s="248">
        <f t="shared" si="131"/>
        <v>0</v>
      </c>
      <c r="Z115" s="248">
        <f t="shared" si="131"/>
        <v>0</v>
      </c>
      <c r="AA115" s="248">
        <f t="shared" si="131"/>
        <v>0</v>
      </c>
      <c r="AB115" s="248">
        <f t="shared" si="131"/>
        <v>0</v>
      </c>
      <c r="AC115" s="248">
        <f t="shared" si="131"/>
        <v>0</v>
      </c>
      <c r="AD115" s="248">
        <f t="shared" si="131"/>
        <v>0</v>
      </c>
      <c r="AE115" s="248">
        <f t="shared" si="131"/>
        <v>0</v>
      </c>
      <c r="AF115" s="248">
        <f t="shared" si="131"/>
        <v>0</v>
      </c>
      <c r="AG115" s="248">
        <f t="shared" si="131"/>
        <v>0</v>
      </c>
      <c r="AH115" s="248">
        <f t="shared" si="131"/>
        <v>0</v>
      </c>
      <c r="AI115" s="248">
        <f t="shared" si="131"/>
        <v>0</v>
      </c>
      <c r="AJ115" s="248">
        <f t="shared" si="131"/>
        <v>0</v>
      </c>
      <c r="AK115" s="248">
        <f t="shared" si="131"/>
        <v>0</v>
      </c>
      <c r="AL115" s="248">
        <f t="shared" si="131"/>
        <v>0</v>
      </c>
      <c r="AM115" s="248">
        <f t="shared" si="131"/>
        <v>0</v>
      </c>
      <c r="AN115" s="248">
        <f t="shared" si="131"/>
        <v>0</v>
      </c>
      <c r="AO115" s="248">
        <f t="shared" si="131"/>
        <v>0</v>
      </c>
      <c r="AP115" s="248">
        <f t="shared" si="131"/>
        <v>7.2139999999999995</v>
      </c>
      <c r="AQ115" s="248">
        <f t="shared" si="131"/>
        <v>0</v>
      </c>
      <c r="AR115" s="248">
        <f t="shared" si="131"/>
        <v>0.33799999999999997</v>
      </c>
      <c r="AS115" s="248">
        <f t="shared" si="131"/>
        <v>0</v>
      </c>
      <c r="AT115" s="248">
        <f t="shared" si="131"/>
        <v>0</v>
      </c>
      <c r="AU115" s="248">
        <f t="shared" si="131"/>
        <v>0</v>
      </c>
      <c r="AV115" s="248">
        <f t="shared" si="131"/>
        <v>0</v>
      </c>
      <c r="AW115" s="248">
        <f t="shared" si="131"/>
        <v>0.3</v>
      </c>
      <c r="AX115" s="248">
        <f t="shared" si="131"/>
        <v>0</v>
      </c>
      <c r="AY115" s="248">
        <f t="shared" si="131"/>
        <v>0</v>
      </c>
      <c r="AZ115" s="248">
        <f t="shared" si="131"/>
        <v>0</v>
      </c>
      <c r="BA115" s="248">
        <f t="shared" si="131"/>
        <v>0</v>
      </c>
      <c r="BB115" s="248">
        <f t="shared" si="131"/>
        <v>0</v>
      </c>
      <c r="BC115" s="248">
        <f t="shared" si="131"/>
        <v>0</v>
      </c>
      <c r="BD115" s="248">
        <f t="shared" si="131"/>
        <v>1.28</v>
      </c>
      <c r="BE115" s="248">
        <f t="shared" si="131"/>
        <v>0</v>
      </c>
      <c r="BF115" s="248">
        <f t="shared" si="131"/>
        <v>0</v>
      </c>
      <c r="BG115" s="248">
        <f t="shared" si="131"/>
        <v>0</v>
      </c>
      <c r="BH115" s="248">
        <f t="shared" si="131"/>
        <v>0</v>
      </c>
      <c r="BI115" s="248">
        <f t="shared" si="131"/>
        <v>0</v>
      </c>
      <c r="BJ115" s="248">
        <f t="shared" si="131"/>
        <v>0</v>
      </c>
      <c r="BK115" s="248">
        <f t="shared" si="131"/>
        <v>0.32500000000000001</v>
      </c>
      <c r="BL115" s="248">
        <f t="shared" si="131"/>
        <v>0</v>
      </c>
      <c r="BM115" s="248">
        <f t="shared" si="131"/>
        <v>0</v>
      </c>
      <c r="BN115" s="248">
        <f t="shared" si="131"/>
        <v>0</v>
      </c>
      <c r="BO115" s="248">
        <f t="shared" si="131"/>
        <v>0</v>
      </c>
      <c r="BP115" s="248">
        <f t="shared" si="131"/>
        <v>0</v>
      </c>
      <c r="BQ115" s="248">
        <f t="shared" ref="BQ115:CC115" si="132">BQ23</f>
        <v>0</v>
      </c>
      <c r="BR115" s="248">
        <f t="shared" si="132"/>
        <v>5.3089999999999993</v>
      </c>
      <c r="BS115" s="248">
        <f t="shared" si="132"/>
        <v>0</v>
      </c>
      <c r="BT115" s="248">
        <f t="shared" si="132"/>
        <v>0.33799999999999997</v>
      </c>
      <c r="BU115" s="248">
        <f t="shared" si="132"/>
        <v>0</v>
      </c>
      <c r="BV115" s="248">
        <f t="shared" si="132"/>
        <v>0</v>
      </c>
      <c r="BW115" s="248">
        <f>BW23</f>
        <v>0.25</v>
      </c>
      <c r="BX115" s="248">
        <f t="shared" si="132"/>
        <v>0</v>
      </c>
      <c r="BY115" s="248">
        <f t="shared" si="132"/>
        <v>-2.5789999999999997</v>
      </c>
      <c r="BZ115" s="248">
        <f t="shared" si="132"/>
        <v>0</v>
      </c>
      <c r="CA115" s="248">
        <f t="shared" si="132"/>
        <v>-0.33799999999999997</v>
      </c>
      <c r="CB115" s="248">
        <f t="shared" si="132"/>
        <v>0</v>
      </c>
      <c r="CC115" s="248">
        <f t="shared" si="132"/>
        <v>0</v>
      </c>
      <c r="CD115" s="518">
        <f>'10'!T94</f>
        <v>0</v>
      </c>
    </row>
    <row r="118" spans="1:82">
      <c r="A118" s="7" t="s">
        <v>82</v>
      </c>
    </row>
  </sheetData>
  <autoFilter ref="A22:CD115"/>
  <mergeCells count="27">
    <mergeCell ref="A6:CD6"/>
    <mergeCell ref="A7:CD7"/>
    <mergeCell ref="A8:CD8"/>
    <mergeCell ref="A10:CD10"/>
    <mergeCell ref="A12:CD12"/>
    <mergeCell ref="A14:CD14"/>
    <mergeCell ref="A15:CD15"/>
    <mergeCell ref="E18:BV18"/>
    <mergeCell ref="A115:C115"/>
    <mergeCell ref="A18:A21"/>
    <mergeCell ref="B18:B21"/>
    <mergeCell ref="C18:C21"/>
    <mergeCell ref="D18:D21"/>
    <mergeCell ref="E20:K20"/>
    <mergeCell ref="L20:R20"/>
    <mergeCell ref="S20:Y20"/>
    <mergeCell ref="Z20:AF20"/>
    <mergeCell ref="BP20:BV20"/>
    <mergeCell ref="BW18:CC20"/>
    <mergeCell ref="CD18:CD21"/>
    <mergeCell ref="AN19:BV19"/>
    <mergeCell ref="E19:AM19"/>
    <mergeCell ref="AN20:AT20"/>
    <mergeCell ref="AU20:BA20"/>
    <mergeCell ref="BB20:BH20"/>
    <mergeCell ref="BI20:BO20"/>
    <mergeCell ref="AG20:AM20"/>
  </mergeCells>
  <pageMargins left="0.19685039370078741" right="0.19685039370078741" top="0.28000000000000003" bottom="0.2" header="0.31496062992125984" footer="0.31496062992125984"/>
  <pageSetup paperSize="9" scale="17" fitToHeight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BH102"/>
  <sheetViews>
    <sheetView view="pageBreakPreview" topLeftCell="O1" zoomScale="60" zoomScaleNormal="70" workbookViewId="0">
      <selection activeCell="G24" sqref="G24"/>
    </sheetView>
  </sheetViews>
  <sheetFormatPr defaultRowHeight="15.75" outlineLevelCol="1"/>
  <cols>
    <col min="1" max="1" width="16.7109375" style="7" customWidth="1"/>
    <col min="2" max="2" width="32" style="54" customWidth="1"/>
    <col min="3" max="3" width="18.7109375" style="54" customWidth="1"/>
    <col min="4" max="4" width="20.140625" style="54" customWidth="1"/>
    <col min="5" max="9" width="9.140625" style="54"/>
    <col min="10" max="21" width="9.140625" style="54" customWidth="1" outlineLevel="1"/>
    <col min="22" max="29" width="9.140625" customWidth="1" outlineLevel="1"/>
    <col min="35" max="54" width="9.140625" customWidth="1" outlineLevel="1"/>
    <col min="60" max="60" width="15.28515625" customWidth="1"/>
  </cols>
  <sheetData>
    <row r="1" spans="1:57">
      <c r="BE1" s="7" t="s">
        <v>600</v>
      </c>
    </row>
    <row r="2" spans="1:57">
      <c r="BE2" s="7" t="s">
        <v>23</v>
      </c>
    </row>
    <row r="3" spans="1:57">
      <c r="BE3" s="7" t="s">
        <v>24</v>
      </c>
    </row>
    <row r="6" spans="1:57">
      <c r="A6" s="691" t="s">
        <v>601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3"/>
      <c r="R6" s="63"/>
      <c r="S6" s="63"/>
      <c r="T6" s="63"/>
    </row>
    <row r="7" spans="1:57">
      <c r="A7" s="691" t="s">
        <v>602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3"/>
      <c r="R7" s="63"/>
      <c r="S7" s="63"/>
      <c r="T7" s="63"/>
    </row>
    <row r="8" spans="1:57">
      <c r="A8" s="691" t="s">
        <v>1188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58"/>
      <c r="R8" s="58"/>
      <c r="S8" s="58"/>
      <c r="T8" s="58"/>
    </row>
    <row r="10" spans="1:57">
      <c r="A10" s="694" t="s">
        <v>727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59"/>
      <c r="R10" s="59"/>
      <c r="S10" s="59"/>
      <c r="T10" s="59"/>
    </row>
    <row r="12" spans="1:57">
      <c r="A12" s="693" t="s">
        <v>725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</row>
    <row r="14" spans="1:57">
      <c r="A14" s="693" t="s">
        <v>34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</row>
    <row r="15" spans="1:57" ht="35.25" customHeight="1">
      <c r="A15" s="714" t="s">
        <v>1190</v>
      </c>
      <c r="B15" s="714"/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55"/>
      <c r="R15" s="55"/>
      <c r="S15" s="55"/>
      <c r="T15" s="55"/>
    </row>
    <row r="18" spans="1:60" s="65" customFormat="1" ht="15.75" customHeight="1">
      <c r="A18" s="715" t="s">
        <v>0</v>
      </c>
      <c r="B18" s="715" t="s">
        <v>1</v>
      </c>
      <c r="C18" s="715" t="s">
        <v>2</v>
      </c>
      <c r="D18" s="715" t="s">
        <v>87</v>
      </c>
      <c r="E18" s="706" t="s">
        <v>736</v>
      </c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  <c r="AT18" s="707"/>
      <c r="AU18" s="707"/>
      <c r="AV18" s="707"/>
      <c r="AW18" s="707"/>
      <c r="AX18" s="707"/>
      <c r="AY18" s="707"/>
      <c r="AZ18" s="707"/>
      <c r="BA18" s="707"/>
      <c r="BB18" s="708"/>
      <c r="BC18" s="695" t="s">
        <v>597</v>
      </c>
      <c r="BD18" s="695"/>
      <c r="BE18" s="695"/>
      <c r="BF18" s="695"/>
      <c r="BG18" s="695"/>
      <c r="BH18" s="695" t="s">
        <v>10</v>
      </c>
    </row>
    <row r="19" spans="1:60" s="65" customFormat="1">
      <c r="A19" s="716"/>
      <c r="B19" s="716"/>
      <c r="C19" s="716"/>
      <c r="D19" s="716"/>
      <c r="E19" s="695" t="s">
        <v>11</v>
      </c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5"/>
      <c r="AB19" s="695"/>
      <c r="AC19" s="695"/>
      <c r="AD19" s="695" t="s">
        <v>12</v>
      </c>
      <c r="AE19" s="695"/>
      <c r="AF19" s="695"/>
      <c r="AG19" s="695"/>
      <c r="AH19" s="695"/>
      <c r="AI19" s="695"/>
      <c r="AJ19" s="695"/>
      <c r="AK19" s="695"/>
      <c r="AL19" s="695"/>
      <c r="AM19" s="695"/>
      <c r="AN19" s="695"/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5"/>
      <c r="BA19" s="695"/>
      <c r="BB19" s="695"/>
      <c r="BC19" s="695"/>
      <c r="BD19" s="695"/>
      <c r="BE19" s="695"/>
      <c r="BF19" s="695"/>
      <c r="BG19" s="695"/>
      <c r="BH19" s="695"/>
    </row>
    <row r="20" spans="1:60" s="65" customFormat="1" ht="15" customHeight="1">
      <c r="A20" s="716"/>
      <c r="B20" s="716"/>
      <c r="C20" s="716"/>
      <c r="D20" s="716"/>
      <c r="E20" s="695" t="s">
        <v>485</v>
      </c>
      <c r="F20" s="695"/>
      <c r="G20" s="695"/>
      <c r="H20" s="695"/>
      <c r="I20" s="695"/>
      <c r="J20" s="695" t="s">
        <v>486</v>
      </c>
      <c r="K20" s="695"/>
      <c r="L20" s="695"/>
      <c r="M20" s="695"/>
      <c r="N20" s="695"/>
      <c r="O20" s="695" t="s">
        <v>487</v>
      </c>
      <c r="P20" s="695"/>
      <c r="Q20" s="695"/>
      <c r="R20" s="695"/>
      <c r="S20" s="695"/>
      <c r="T20" s="695" t="s">
        <v>488</v>
      </c>
      <c r="U20" s="695"/>
      <c r="V20" s="695"/>
      <c r="W20" s="695"/>
      <c r="X20" s="695"/>
      <c r="Y20" s="695" t="s">
        <v>489</v>
      </c>
      <c r="Z20" s="695"/>
      <c r="AA20" s="695"/>
      <c r="AB20" s="695"/>
      <c r="AC20" s="695"/>
      <c r="AD20" s="695" t="s">
        <v>485</v>
      </c>
      <c r="AE20" s="695"/>
      <c r="AF20" s="695"/>
      <c r="AG20" s="695"/>
      <c r="AH20" s="695"/>
      <c r="AI20" s="695" t="s">
        <v>486</v>
      </c>
      <c r="AJ20" s="695"/>
      <c r="AK20" s="695"/>
      <c r="AL20" s="695"/>
      <c r="AM20" s="695"/>
      <c r="AN20" s="695" t="s">
        <v>487</v>
      </c>
      <c r="AO20" s="695"/>
      <c r="AP20" s="695"/>
      <c r="AQ20" s="695"/>
      <c r="AR20" s="695"/>
      <c r="AS20" s="695" t="s">
        <v>488</v>
      </c>
      <c r="AT20" s="695"/>
      <c r="AU20" s="695"/>
      <c r="AV20" s="695"/>
      <c r="AW20" s="695"/>
      <c r="AX20" s="695" t="s">
        <v>489</v>
      </c>
      <c r="AY20" s="695"/>
      <c r="AZ20" s="695"/>
      <c r="BA20" s="695"/>
      <c r="BB20" s="695"/>
      <c r="BC20" s="695"/>
      <c r="BD20" s="695"/>
      <c r="BE20" s="695"/>
      <c r="BF20" s="695"/>
      <c r="BG20" s="695"/>
      <c r="BH20" s="695"/>
    </row>
    <row r="21" spans="1:60" s="65" customFormat="1" ht="15" customHeight="1">
      <c r="A21" s="716"/>
      <c r="B21" s="716"/>
      <c r="C21" s="716"/>
      <c r="D21" s="716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5"/>
      <c r="AN21" s="695"/>
      <c r="AO21" s="695"/>
      <c r="AP21" s="695"/>
      <c r="AQ21" s="695"/>
      <c r="AR21" s="695"/>
      <c r="AS21" s="695"/>
      <c r="AT21" s="695"/>
      <c r="AU21" s="695"/>
      <c r="AV21" s="695"/>
      <c r="AW21" s="695"/>
      <c r="AX21" s="695"/>
      <c r="AY21" s="695"/>
      <c r="AZ21" s="695"/>
      <c r="BA21" s="695"/>
      <c r="BB21" s="695"/>
      <c r="BC21" s="695"/>
      <c r="BD21" s="695"/>
      <c r="BE21" s="695"/>
      <c r="BF21" s="695"/>
      <c r="BG21" s="695"/>
      <c r="BH21" s="695"/>
    </row>
    <row r="22" spans="1:60" s="65" customFormat="1" ht="31.5">
      <c r="A22" s="717"/>
      <c r="B22" s="717"/>
      <c r="C22" s="717"/>
      <c r="D22" s="717"/>
      <c r="E22" s="66" t="s">
        <v>58</v>
      </c>
      <c r="F22" s="66" t="s">
        <v>59</v>
      </c>
      <c r="G22" s="66" t="s">
        <v>60</v>
      </c>
      <c r="H22" s="66" t="s">
        <v>61</v>
      </c>
      <c r="I22" s="66" t="s">
        <v>62</v>
      </c>
      <c r="J22" s="66" t="s">
        <v>58</v>
      </c>
      <c r="K22" s="66" t="s">
        <v>59</v>
      </c>
      <c r="L22" s="66" t="s">
        <v>60</v>
      </c>
      <c r="M22" s="66" t="s">
        <v>61</v>
      </c>
      <c r="N22" s="66" t="s">
        <v>62</v>
      </c>
      <c r="O22" s="66" t="s">
        <v>58</v>
      </c>
      <c r="P22" s="66" t="s">
        <v>59</v>
      </c>
      <c r="Q22" s="66" t="s">
        <v>60</v>
      </c>
      <c r="R22" s="66" t="s">
        <v>61</v>
      </c>
      <c r="S22" s="66" t="s">
        <v>62</v>
      </c>
      <c r="T22" s="66" t="s">
        <v>58</v>
      </c>
      <c r="U22" s="66" t="s">
        <v>59</v>
      </c>
      <c r="V22" s="66" t="s">
        <v>60</v>
      </c>
      <c r="W22" s="66" t="s">
        <v>61</v>
      </c>
      <c r="X22" s="66" t="s">
        <v>62</v>
      </c>
      <c r="Y22" s="66" t="s">
        <v>58</v>
      </c>
      <c r="Z22" s="66" t="s">
        <v>59</v>
      </c>
      <c r="AA22" s="66" t="s">
        <v>60</v>
      </c>
      <c r="AB22" s="66" t="s">
        <v>61</v>
      </c>
      <c r="AC22" s="66" t="s">
        <v>62</v>
      </c>
      <c r="AD22" s="66" t="s">
        <v>58</v>
      </c>
      <c r="AE22" s="66" t="s">
        <v>59</v>
      </c>
      <c r="AF22" s="66" t="s">
        <v>60</v>
      </c>
      <c r="AG22" s="66" t="s">
        <v>61</v>
      </c>
      <c r="AH22" s="66" t="s">
        <v>62</v>
      </c>
      <c r="AI22" s="66" t="s">
        <v>58</v>
      </c>
      <c r="AJ22" s="66" t="s">
        <v>59</v>
      </c>
      <c r="AK22" s="66" t="s">
        <v>60</v>
      </c>
      <c r="AL22" s="66" t="s">
        <v>61</v>
      </c>
      <c r="AM22" s="66" t="s">
        <v>62</v>
      </c>
      <c r="AN22" s="66" t="s">
        <v>58</v>
      </c>
      <c r="AO22" s="66" t="s">
        <v>59</v>
      </c>
      <c r="AP22" s="66" t="s">
        <v>60</v>
      </c>
      <c r="AQ22" s="66" t="s">
        <v>61</v>
      </c>
      <c r="AR22" s="66" t="s">
        <v>62</v>
      </c>
      <c r="AS22" s="66" t="s">
        <v>58</v>
      </c>
      <c r="AT22" s="66" t="s">
        <v>59</v>
      </c>
      <c r="AU22" s="66" t="s">
        <v>60</v>
      </c>
      <c r="AV22" s="66" t="s">
        <v>61</v>
      </c>
      <c r="AW22" s="66" t="s">
        <v>62</v>
      </c>
      <c r="AX22" s="66" t="s">
        <v>58</v>
      </c>
      <c r="AY22" s="66" t="s">
        <v>59</v>
      </c>
      <c r="AZ22" s="66" t="s">
        <v>60</v>
      </c>
      <c r="BA22" s="66" t="s">
        <v>61</v>
      </c>
      <c r="BB22" s="66" t="s">
        <v>62</v>
      </c>
      <c r="BC22" s="66" t="s">
        <v>58</v>
      </c>
      <c r="BD22" s="66" t="s">
        <v>59</v>
      </c>
      <c r="BE22" s="66" t="s">
        <v>60</v>
      </c>
      <c r="BF22" s="66" t="s">
        <v>61</v>
      </c>
      <c r="BG22" s="66" t="s">
        <v>62</v>
      </c>
      <c r="BH22" s="70"/>
    </row>
    <row r="23" spans="1:60" s="65" customFormat="1">
      <c r="A23" s="66">
        <v>1</v>
      </c>
      <c r="B23" s="66">
        <v>2</v>
      </c>
      <c r="C23" s="66">
        <v>3</v>
      </c>
      <c r="D23" s="66">
        <v>4</v>
      </c>
      <c r="E23" s="66" t="s">
        <v>501</v>
      </c>
      <c r="F23" s="66" t="s">
        <v>502</v>
      </c>
      <c r="G23" s="66" t="s">
        <v>503</v>
      </c>
      <c r="H23" s="66" t="s">
        <v>504</v>
      </c>
      <c r="I23" s="66" t="s">
        <v>505</v>
      </c>
      <c r="J23" s="66" t="s">
        <v>508</v>
      </c>
      <c r="K23" s="66" t="s">
        <v>509</v>
      </c>
      <c r="L23" s="66" t="s">
        <v>510</v>
      </c>
      <c r="M23" s="66" t="s">
        <v>511</v>
      </c>
      <c r="N23" s="66" t="s">
        <v>512</v>
      </c>
      <c r="O23" s="66" t="s">
        <v>515</v>
      </c>
      <c r="P23" s="66" t="s">
        <v>516</v>
      </c>
      <c r="Q23" s="66" t="s">
        <v>517</v>
      </c>
      <c r="R23" s="66" t="s">
        <v>518</v>
      </c>
      <c r="S23" s="66" t="s">
        <v>519</v>
      </c>
      <c r="T23" s="66" t="s">
        <v>522</v>
      </c>
      <c r="U23" s="66" t="s">
        <v>523</v>
      </c>
      <c r="V23" s="66" t="s">
        <v>524</v>
      </c>
      <c r="W23" s="66" t="s">
        <v>525</v>
      </c>
      <c r="X23" s="66" t="s">
        <v>526</v>
      </c>
      <c r="Y23" s="66" t="s">
        <v>529</v>
      </c>
      <c r="Z23" s="66" t="s">
        <v>530</v>
      </c>
      <c r="AA23" s="66" t="s">
        <v>531</v>
      </c>
      <c r="AB23" s="66" t="s">
        <v>532</v>
      </c>
      <c r="AC23" s="66" t="s">
        <v>533</v>
      </c>
      <c r="AD23" s="66" t="s">
        <v>537</v>
      </c>
      <c r="AE23" s="66" t="s">
        <v>538</v>
      </c>
      <c r="AF23" s="66" t="s">
        <v>539</v>
      </c>
      <c r="AG23" s="66" t="s">
        <v>540</v>
      </c>
      <c r="AH23" s="66" t="s">
        <v>541</v>
      </c>
      <c r="AI23" s="66" t="s">
        <v>544</v>
      </c>
      <c r="AJ23" s="66" t="s">
        <v>545</v>
      </c>
      <c r="AK23" s="66" t="s">
        <v>546</v>
      </c>
      <c r="AL23" s="66" t="s">
        <v>547</v>
      </c>
      <c r="AM23" s="66" t="s">
        <v>548</v>
      </c>
      <c r="AN23" s="66" t="s">
        <v>551</v>
      </c>
      <c r="AO23" s="66" t="s">
        <v>552</v>
      </c>
      <c r="AP23" s="66" t="s">
        <v>553</v>
      </c>
      <c r="AQ23" s="66" t="s">
        <v>554</v>
      </c>
      <c r="AR23" s="66" t="s">
        <v>555</v>
      </c>
      <c r="AS23" s="66" t="s">
        <v>558</v>
      </c>
      <c r="AT23" s="66" t="s">
        <v>559</v>
      </c>
      <c r="AU23" s="66" t="s">
        <v>560</v>
      </c>
      <c r="AV23" s="66" t="s">
        <v>561</v>
      </c>
      <c r="AW23" s="66" t="s">
        <v>562</v>
      </c>
      <c r="AX23" s="66" t="s">
        <v>565</v>
      </c>
      <c r="AY23" s="66" t="s">
        <v>566</v>
      </c>
      <c r="AZ23" s="66" t="s">
        <v>567</v>
      </c>
      <c r="BA23" s="66" t="s">
        <v>568</v>
      </c>
      <c r="BB23" s="66" t="s">
        <v>569</v>
      </c>
      <c r="BC23" s="66" t="s">
        <v>574</v>
      </c>
      <c r="BD23" s="66" t="s">
        <v>575</v>
      </c>
      <c r="BE23" s="66" t="s">
        <v>576</v>
      </c>
      <c r="BF23" s="66" t="s">
        <v>577</v>
      </c>
      <c r="BG23" s="66" t="s">
        <v>578</v>
      </c>
      <c r="BH23" s="66">
        <v>8</v>
      </c>
    </row>
    <row r="24" spans="1:60" s="65" customFormat="1" ht="33" customHeight="1">
      <c r="A24" s="135">
        <v>0</v>
      </c>
      <c r="B24" s="132" t="s">
        <v>21</v>
      </c>
      <c r="C24" s="138" t="s">
        <v>876</v>
      </c>
      <c r="D24" s="160" t="s">
        <v>876</v>
      </c>
      <c r="E24" s="253">
        <f>SUM(E25:E30)</f>
        <v>0</v>
      </c>
      <c r="F24" s="253">
        <f t="shared" ref="F24:BB24" si="0">SUM(F25:F30)</f>
        <v>0</v>
      </c>
      <c r="G24" s="253">
        <f t="shared" si="0"/>
        <v>2.7749999999999999</v>
      </c>
      <c r="H24" s="253">
        <f t="shared" si="0"/>
        <v>0</v>
      </c>
      <c r="I24" s="253">
        <f t="shared" si="0"/>
        <v>0</v>
      </c>
      <c r="J24" s="253">
        <f t="shared" si="0"/>
        <v>0</v>
      </c>
      <c r="K24" s="253">
        <f t="shared" si="0"/>
        <v>0</v>
      </c>
      <c r="L24" s="253">
        <f t="shared" si="0"/>
        <v>0</v>
      </c>
      <c r="M24" s="253">
        <f t="shared" si="0"/>
        <v>0</v>
      </c>
      <c r="N24" s="253">
        <f t="shared" si="0"/>
        <v>0</v>
      </c>
      <c r="O24" s="253">
        <f t="shared" si="0"/>
        <v>0</v>
      </c>
      <c r="P24" s="253">
        <f t="shared" si="0"/>
        <v>0</v>
      </c>
      <c r="Q24" s="253">
        <f t="shared" si="0"/>
        <v>0</v>
      </c>
      <c r="R24" s="253">
        <f t="shared" si="0"/>
        <v>0</v>
      </c>
      <c r="S24" s="253">
        <f t="shared" si="0"/>
        <v>0</v>
      </c>
      <c r="T24" s="253">
        <f t="shared" si="0"/>
        <v>0</v>
      </c>
      <c r="U24" s="253">
        <f t="shared" si="0"/>
        <v>0</v>
      </c>
      <c r="V24" s="253">
        <f t="shared" si="0"/>
        <v>0</v>
      </c>
      <c r="W24" s="253">
        <f t="shared" si="0"/>
        <v>0</v>
      </c>
      <c r="X24" s="253">
        <f t="shared" si="0"/>
        <v>0</v>
      </c>
      <c r="Y24" s="253">
        <f t="shared" si="0"/>
        <v>0</v>
      </c>
      <c r="Z24" s="253">
        <f t="shared" si="0"/>
        <v>0</v>
      </c>
      <c r="AA24" s="253">
        <f t="shared" si="0"/>
        <v>2.7749999999999999</v>
      </c>
      <c r="AB24" s="253">
        <f t="shared" si="0"/>
        <v>0</v>
      </c>
      <c r="AC24" s="253">
        <f t="shared" si="0"/>
        <v>0</v>
      </c>
      <c r="AD24" s="253">
        <f t="shared" si="0"/>
        <v>0</v>
      </c>
      <c r="AE24" s="253">
        <f t="shared" si="0"/>
        <v>0</v>
      </c>
      <c r="AF24" s="253">
        <f t="shared" si="0"/>
        <v>0</v>
      </c>
      <c r="AG24" s="253">
        <f t="shared" si="0"/>
        <v>0</v>
      </c>
      <c r="AH24" s="253">
        <f t="shared" si="0"/>
        <v>0</v>
      </c>
      <c r="AI24" s="253">
        <f t="shared" si="0"/>
        <v>0</v>
      </c>
      <c r="AJ24" s="253">
        <f t="shared" si="0"/>
        <v>0</v>
      </c>
      <c r="AK24" s="253">
        <f t="shared" si="0"/>
        <v>0</v>
      </c>
      <c r="AL24" s="253">
        <f t="shared" si="0"/>
        <v>0</v>
      </c>
      <c r="AM24" s="253">
        <f t="shared" si="0"/>
        <v>0</v>
      </c>
      <c r="AN24" s="253">
        <f t="shared" si="0"/>
        <v>0</v>
      </c>
      <c r="AO24" s="253">
        <f t="shared" si="0"/>
        <v>0</v>
      </c>
      <c r="AP24" s="253">
        <f t="shared" si="0"/>
        <v>0</v>
      </c>
      <c r="AQ24" s="253">
        <f t="shared" si="0"/>
        <v>0</v>
      </c>
      <c r="AR24" s="253">
        <f t="shared" si="0"/>
        <v>0</v>
      </c>
      <c r="AS24" s="253">
        <f t="shared" si="0"/>
        <v>0</v>
      </c>
      <c r="AT24" s="253">
        <f t="shared" si="0"/>
        <v>0</v>
      </c>
      <c r="AU24" s="253">
        <f t="shared" si="0"/>
        <v>0</v>
      </c>
      <c r="AV24" s="253">
        <f t="shared" si="0"/>
        <v>0</v>
      </c>
      <c r="AW24" s="253">
        <f t="shared" si="0"/>
        <v>0</v>
      </c>
      <c r="AX24" s="253">
        <f t="shared" si="0"/>
        <v>0</v>
      </c>
      <c r="AY24" s="253">
        <f t="shared" si="0"/>
        <v>0</v>
      </c>
      <c r="AZ24" s="253">
        <f t="shared" si="0"/>
        <v>0</v>
      </c>
      <c r="BA24" s="253">
        <f t="shared" si="0"/>
        <v>0</v>
      </c>
      <c r="BB24" s="253">
        <f t="shared" si="0"/>
        <v>0</v>
      </c>
      <c r="BC24" s="253">
        <f>E24-AD24</f>
        <v>0</v>
      </c>
      <c r="BD24" s="253">
        <f t="shared" ref="BD24:BG24" si="1">F24-AE24</f>
        <v>0</v>
      </c>
      <c r="BE24" s="253">
        <f t="shared" si="1"/>
        <v>2.7749999999999999</v>
      </c>
      <c r="BF24" s="253">
        <f t="shared" si="1"/>
        <v>0</v>
      </c>
      <c r="BG24" s="253">
        <f t="shared" si="1"/>
        <v>0</v>
      </c>
      <c r="BH24" s="66"/>
    </row>
    <row r="25" spans="1:60" s="65" customFormat="1" ht="31.5">
      <c r="A25" s="135" t="s">
        <v>877</v>
      </c>
      <c r="B25" s="132" t="s">
        <v>878</v>
      </c>
      <c r="C25" s="138" t="s">
        <v>876</v>
      </c>
      <c r="D25" s="160" t="s">
        <v>876</v>
      </c>
      <c r="E25" s="253">
        <f t="shared" ref="E25:E86" si="2">J25+O25+T25+Y25</f>
        <v>0</v>
      </c>
      <c r="F25" s="253">
        <f t="shared" ref="F25:F86" si="3">K25+P25+U25+Z25</f>
        <v>0</v>
      </c>
      <c r="G25" s="253">
        <f t="shared" ref="G25:G86" si="4">L25+Q25+V25+AA25</f>
        <v>0</v>
      </c>
      <c r="H25" s="253">
        <f t="shared" ref="H25:H86" si="5">M25+R25+W25+AB25</f>
        <v>0</v>
      </c>
      <c r="I25" s="253">
        <f t="shared" ref="I25:I86" si="6">N25+S25+X25+AC25</f>
        <v>0</v>
      </c>
      <c r="J25" s="253">
        <v>0</v>
      </c>
      <c r="K25" s="253">
        <v>0</v>
      </c>
      <c r="L25" s="253">
        <v>0</v>
      </c>
      <c r="M25" s="253">
        <v>0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3">
        <v>0</v>
      </c>
      <c r="T25" s="253">
        <v>0</v>
      </c>
      <c r="U25" s="253">
        <v>0</v>
      </c>
      <c r="V25" s="253">
        <v>0</v>
      </c>
      <c r="W25" s="253">
        <v>0</v>
      </c>
      <c r="X25" s="253">
        <v>0</v>
      </c>
      <c r="Y25" s="253">
        <v>0</v>
      </c>
      <c r="Z25" s="253">
        <v>0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>
        <v>0</v>
      </c>
      <c r="AG25" s="253">
        <v>0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53">
        <v>0</v>
      </c>
      <c r="AN25" s="253">
        <v>0</v>
      </c>
      <c r="AO25" s="253">
        <v>0</v>
      </c>
      <c r="AP25" s="253">
        <v>0</v>
      </c>
      <c r="AQ25" s="253">
        <v>0</v>
      </c>
      <c r="AR25" s="253">
        <v>0</v>
      </c>
      <c r="AS25" s="253">
        <v>0</v>
      </c>
      <c r="AT25" s="253">
        <v>0</v>
      </c>
      <c r="AU25" s="253">
        <v>0</v>
      </c>
      <c r="AV25" s="253">
        <v>0</v>
      </c>
      <c r="AW25" s="253">
        <v>0</v>
      </c>
      <c r="AX25" s="253">
        <v>0</v>
      </c>
      <c r="AY25" s="253">
        <v>0</v>
      </c>
      <c r="AZ25" s="253">
        <v>0</v>
      </c>
      <c r="BA25" s="253">
        <v>0</v>
      </c>
      <c r="BB25" s="253">
        <v>0</v>
      </c>
      <c r="BC25" s="253">
        <f t="shared" ref="BC25:BC76" si="7">E25-AD25</f>
        <v>0</v>
      </c>
      <c r="BD25" s="253">
        <f t="shared" ref="BD25:BD76" si="8">F25-AE25</f>
        <v>0</v>
      </c>
      <c r="BE25" s="253">
        <f t="shared" ref="BE25:BE76" si="9">G25-AF25</f>
        <v>0</v>
      </c>
      <c r="BF25" s="253">
        <f t="shared" ref="BF25:BF76" si="10">H25-AG25</f>
        <v>0</v>
      </c>
      <c r="BG25" s="253">
        <f t="shared" ref="BG25:BG76" si="11">I25-AH25</f>
        <v>0</v>
      </c>
      <c r="BH25" s="66"/>
    </row>
    <row r="26" spans="1:60" s="65" customFormat="1" ht="47.25">
      <c r="A26" s="135" t="s">
        <v>879</v>
      </c>
      <c r="B26" s="132" t="s">
        <v>880</v>
      </c>
      <c r="C26" s="138" t="s">
        <v>876</v>
      </c>
      <c r="D26" s="160" t="s">
        <v>876</v>
      </c>
      <c r="E26" s="253">
        <f>E62</f>
        <v>0</v>
      </c>
      <c r="F26" s="253">
        <f t="shared" ref="F26:BB26" si="12">F62</f>
        <v>0</v>
      </c>
      <c r="G26" s="253">
        <f t="shared" si="12"/>
        <v>2.7749999999999999</v>
      </c>
      <c r="H26" s="253">
        <f t="shared" si="12"/>
        <v>0</v>
      </c>
      <c r="I26" s="253">
        <f t="shared" si="12"/>
        <v>0</v>
      </c>
      <c r="J26" s="253">
        <f t="shared" si="12"/>
        <v>0</v>
      </c>
      <c r="K26" s="253">
        <f t="shared" si="12"/>
        <v>0</v>
      </c>
      <c r="L26" s="253">
        <f t="shared" si="12"/>
        <v>0</v>
      </c>
      <c r="M26" s="253">
        <f t="shared" si="12"/>
        <v>0</v>
      </c>
      <c r="N26" s="253">
        <f t="shared" si="12"/>
        <v>0</v>
      </c>
      <c r="O26" s="253">
        <f t="shared" si="12"/>
        <v>0</v>
      </c>
      <c r="P26" s="253">
        <f t="shared" si="12"/>
        <v>0</v>
      </c>
      <c r="Q26" s="253">
        <f t="shared" si="12"/>
        <v>0</v>
      </c>
      <c r="R26" s="253">
        <f t="shared" si="12"/>
        <v>0</v>
      </c>
      <c r="S26" s="253">
        <f t="shared" si="12"/>
        <v>0</v>
      </c>
      <c r="T26" s="253">
        <f t="shared" si="12"/>
        <v>0</v>
      </c>
      <c r="U26" s="253">
        <f t="shared" si="12"/>
        <v>0</v>
      </c>
      <c r="V26" s="253">
        <f t="shared" si="12"/>
        <v>0</v>
      </c>
      <c r="W26" s="253">
        <f t="shared" si="12"/>
        <v>0</v>
      </c>
      <c r="X26" s="253">
        <f t="shared" si="12"/>
        <v>0</v>
      </c>
      <c r="Y26" s="253">
        <f t="shared" si="12"/>
        <v>0</v>
      </c>
      <c r="Z26" s="253">
        <f t="shared" si="12"/>
        <v>0</v>
      </c>
      <c r="AA26" s="253">
        <f t="shared" si="12"/>
        <v>2.7749999999999999</v>
      </c>
      <c r="AB26" s="253">
        <f t="shared" si="12"/>
        <v>0</v>
      </c>
      <c r="AC26" s="253">
        <f t="shared" si="12"/>
        <v>0</v>
      </c>
      <c r="AD26" s="253">
        <f t="shared" si="12"/>
        <v>0</v>
      </c>
      <c r="AE26" s="253">
        <f t="shared" si="12"/>
        <v>0</v>
      </c>
      <c r="AF26" s="253">
        <f t="shared" si="12"/>
        <v>0</v>
      </c>
      <c r="AG26" s="253">
        <f t="shared" si="12"/>
        <v>0</v>
      </c>
      <c r="AH26" s="253">
        <f t="shared" si="12"/>
        <v>0</v>
      </c>
      <c r="AI26" s="253">
        <f t="shared" si="12"/>
        <v>0</v>
      </c>
      <c r="AJ26" s="253">
        <f t="shared" si="12"/>
        <v>0</v>
      </c>
      <c r="AK26" s="253">
        <f t="shared" si="12"/>
        <v>0</v>
      </c>
      <c r="AL26" s="253">
        <f t="shared" si="12"/>
        <v>0</v>
      </c>
      <c r="AM26" s="253">
        <f t="shared" si="12"/>
        <v>0</v>
      </c>
      <c r="AN26" s="253">
        <f t="shared" si="12"/>
        <v>0</v>
      </c>
      <c r="AO26" s="253">
        <f t="shared" si="12"/>
        <v>0</v>
      </c>
      <c r="AP26" s="253">
        <f t="shared" si="12"/>
        <v>0</v>
      </c>
      <c r="AQ26" s="253">
        <f t="shared" si="12"/>
        <v>0</v>
      </c>
      <c r="AR26" s="253">
        <f t="shared" si="12"/>
        <v>0</v>
      </c>
      <c r="AS26" s="253">
        <f t="shared" si="12"/>
        <v>0</v>
      </c>
      <c r="AT26" s="253">
        <f t="shared" si="12"/>
        <v>0</v>
      </c>
      <c r="AU26" s="253">
        <f t="shared" si="12"/>
        <v>0</v>
      </c>
      <c r="AV26" s="253">
        <f t="shared" si="12"/>
        <v>0</v>
      </c>
      <c r="AW26" s="253">
        <f t="shared" si="12"/>
        <v>0</v>
      </c>
      <c r="AX26" s="253">
        <f t="shared" si="12"/>
        <v>0</v>
      </c>
      <c r="AY26" s="253">
        <f t="shared" si="12"/>
        <v>0</v>
      </c>
      <c r="AZ26" s="253">
        <f t="shared" si="12"/>
        <v>0</v>
      </c>
      <c r="BA26" s="253">
        <f t="shared" si="12"/>
        <v>0</v>
      </c>
      <c r="BB26" s="253">
        <f t="shared" si="12"/>
        <v>0</v>
      </c>
      <c r="BC26" s="253">
        <f t="shared" si="7"/>
        <v>0</v>
      </c>
      <c r="BD26" s="253">
        <f t="shared" si="8"/>
        <v>0</v>
      </c>
      <c r="BE26" s="253">
        <f t="shared" si="9"/>
        <v>2.7749999999999999</v>
      </c>
      <c r="BF26" s="253">
        <f t="shared" si="10"/>
        <v>0</v>
      </c>
      <c r="BG26" s="253">
        <f t="shared" si="11"/>
        <v>0</v>
      </c>
      <c r="BH26" s="66"/>
    </row>
    <row r="27" spans="1:60" s="65" customFormat="1" ht="157.5">
      <c r="A27" s="135" t="s">
        <v>881</v>
      </c>
      <c r="B27" s="132" t="s">
        <v>882</v>
      </c>
      <c r="C27" s="138" t="s">
        <v>876</v>
      </c>
      <c r="D27" s="160" t="s">
        <v>876</v>
      </c>
      <c r="E27" s="253">
        <f t="shared" si="2"/>
        <v>0</v>
      </c>
      <c r="F27" s="253">
        <f t="shared" si="3"/>
        <v>0</v>
      </c>
      <c r="G27" s="253">
        <f t="shared" si="4"/>
        <v>0</v>
      </c>
      <c r="H27" s="253">
        <f t="shared" si="5"/>
        <v>0</v>
      </c>
      <c r="I27" s="253">
        <f t="shared" si="6"/>
        <v>0</v>
      </c>
      <c r="J27" s="253">
        <v>0</v>
      </c>
      <c r="K27" s="253">
        <v>0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0</v>
      </c>
      <c r="S27" s="253">
        <v>0</v>
      </c>
      <c r="T27" s="253">
        <v>0</v>
      </c>
      <c r="U27" s="253">
        <v>0</v>
      </c>
      <c r="V27" s="253">
        <v>0</v>
      </c>
      <c r="W27" s="253">
        <v>0</v>
      </c>
      <c r="X27" s="253">
        <v>0</v>
      </c>
      <c r="Y27" s="253">
        <v>0</v>
      </c>
      <c r="Z27" s="253">
        <v>0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>
        <v>0</v>
      </c>
      <c r="AG27" s="253">
        <v>0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53">
        <v>0</v>
      </c>
      <c r="AN27" s="253">
        <v>0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53">
        <v>0</v>
      </c>
      <c r="AU27" s="253">
        <v>0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53">
        <v>0</v>
      </c>
      <c r="BB27" s="253">
        <v>0</v>
      </c>
      <c r="BC27" s="253">
        <f t="shared" si="7"/>
        <v>0</v>
      </c>
      <c r="BD27" s="253">
        <f t="shared" si="8"/>
        <v>0</v>
      </c>
      <c r="BE27" s="253">
        <f t="shared" si="9"/>
        <v>0</v>
      </c>
      <c r="BF27" s="253">
        <f t="shared" si="10"/>
        <v>0</v>
      </c>
      <c r="BG27" s="253">
        <f t="shared" si="11"/>
        <v>0</v>
      </c>
      <c r="BH27" s="66"/>
    </row>
    <row r="28" spans="1:60" s="65" customFormat="1" ht="47.25">
      <c r="A28" s="146" t="s">
        <v>883</v>
      </c>
      <c r="B28" s="144" t="s">
        <v>884</v>
      </c>
      <c r="C28" s="138" t="s">
        <v>876</v>
      </c>
      <c r="D28" s="160" t="s">
        <v>876</v>
      </c>
      <c r="E28" s="253">
        <f t="shared" si="2"/>
        <v>0</v>
      </c>
      <c r="F28" s="253">
        <f t="shared" si="3"/>
        <v>0</v>
      </c>
      <c r="G28" s="253">
        <f t="shared" si="4"/>
        <v>0</v>
      </c>
      <c r="H28" s="253">
        <f t="shared" si="5"/>
        <v>0</v>
      </c>
      <c r="I28" s="253">
        <f t="shared" si="6"/>
        <v>0</v>
      </c>
      <c r="J28" s="253">
        <v>0</v>
      </c>
      <c r="K28" s="253">
        <v>0</v>
      </c>
      <c r="L28" s="253">
        <v>0</v>
      </c>
      <c r="M28" s="253">
        <v>0</v>
      </c>
      <c r="N28" s="253">
        <v>0</v>
      </c>
      <c r="O28" s="253">
        <v>0</v>
      </c>
      <c r="P28" s="253">
        <v>0</v>
      </c>
      <c r="Q28" s="253">
        <v>0</v>
      </c>
      <c r="R28" s="253">
        <v>0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3">
        <v>0</v>
      </c>
      <c r="Y28" s="253">
        <v>0</v>
      </c>
      <c r="Z28" s="253">
        <v>0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>
        <v>0</v>
      </c>
      <c r="AG28" s="253">
        <v>0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53">
        <v>0</v>
      </c>
      <c r="AN28" s="253">
        <v>0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53">
        <v>0</v>
      </c>
      <c r="AU28" s="253">
        <v>0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53">
        <v>0</v>
      </c>
      <c r="BB28" s="253">
        <v>0</v>
      </c>
      <c r="BC28" s="253">
        <f t="shared" si="7"/>
        <v>0</v>
      </c>
      <c r="BD28" s="253">
        <f t="shared" si="8"/>
        <v>0</v>
      </c>
      <c r="BE28" s="253">
        <f t="shared" si="9"/>
        <v>0</v>
      </c>
      <c r="BF28" s="253">
        <f t="shared" si="10"/>
        <v>0</v>
      </c>
      <c r="BG28" s="253">
        <f t="shared" si="11"/>
        <v>0</v>
      </c>
      <c r="BH28" s="66"/>
    </row>
    <row r="29" spans="1:60" s="65" customFormat="1" ht="63">
      <c r="A29" s="146" t="s">
        <v>885</v>
      </c>
      <c r="B29" s="144" t="s">
        <v>886</v>
      </c>
      <c r="C29" s="138" t="s">
        <v>876</v>
      </c>
      <c r="D29" s="160" t="s">
        <v>876</v>
      </c>
      <c r="E29" s="253">
        <f t="shared" si="2"/>
        <v>0</v>
      </c>
      <c r="F29" s="253">
        <f t="shared" si="3"/>
        <v>0</v>
      </c>
      <c r="G29" s="253">
        <f t="shared" si="4"/>
        <v>0</v>
      </c>
      <c r="H29" s="253">
        <f t="shared" si="5"/>
        <v>0</v>
      </c>
      <c r="I29" s="253">
        <f t="shared" si="6"/>
        <v>0</v>
      </c>
      <c r="J29" s="253">
        <v>0</v>
      </c>
      <c r="K29" s="253">
        <v>0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0</v>
      </c>
      <c r="V29" s="253">
        <v>0</v>
      </c>
      <c r="W29" s="253">
        <v>0</v>
      </c>
      <c r="X29" s="253">
        <v>0</v>
      </c>
      <c r="Y29" s="253">
        <v>0</v>
      </c>
      <c r="Z29" s="253">
        <v>0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>
        <v>0</v>
      </c>
      <c r="AG29" s="253">
        <v>0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53">
        <v>0</v>
      </c>
      <c r="AN29" s="253">
        <v>0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53">
        <v>0</v>
      </c>
      <c r="AU29" s="253">
        <v>0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53">
        <v>0</v>
      </c>
      <c r="BB29" s="253">
        <v>0</v>
      </c>
      <c r="BC29" s="253">
        <f t="shared" si="7"/>
        <v>0</v>
      </c>
      <c r="BD29" s="253">
        <f t="shared" si="8"/>
        <v>0</v>
      </c>
      <c r="BE29" s="253">
        <f t="shared" si="9"/>
        <v>0</v>
      </c>
      <c r="BF29" s="253">
        <f t="shared" si="10"/>
        <v>0</v>
      </c>
      <c r="BG29" s="253">
        <f t="shared" si="11"/>
        <v>0</v>
      </c>
      <c r="BH29" s="66"/>
    </row>
    <row r="30" spans="1:60" s="65" customFormat="1" ht="31.5">
      <c r="A30" s="146" t="s">
        <v>887</v>
      </c>
      <c r="B30" s="144" t="s">
        <v>888</v>
      </c>
      <c r="C30" s="138" t="s">
        <v>876</v>
      </c>
      <c r="D30" s="160" t="s">
        <v>876</v>
      </c>
      <c r="E30" s="253">
        <f t="shared" si="2"/>
        <v>0</v>
      </c>
      <c r="F30" s="253">
        <f t="shared" si="3"/>
        <v>0</v>
      </c>
      <c r="G30" s="253">
        <f t="shared" si="4"/>
        <v>0</v>
      </c>
      <c r="H30" s="253">
        <f t="shared" si="5"/>
        <v>0</v>
      </c>
      <c r="I30" s="253">
        <f t="shared" si="6"/>
        <v>0</v>
      </c>
      <c r="J30" s="253">
        <v>0</v>
      </c>
      <c r="K30" s="253">
        <v>0</v>
      </c>
      <c r="L30" s="253">
        <v>0</v>
      </c>
      <c r="M30" s="253">
        <v>0</v>
      </c>
      <c r="N30" s="253">
        <v>0</v>
      </c>
      <c r="O30" s="253">
        <v>0</v>
      </c>
      <c r="P30" s="253">
        <v>0</v>
      </c>
      <c r="Q30" s="253">
        <v>0</v>
      </c>
      <c r="R30" s="253">
        <v>0</v>
      </c>
      <c r="S30" s="253">
        <v>0</v>
      </c>
      <c r="T30" s="253">
        <v>0</v>
      </c>
      <c r="U30" s="253">
        <v>0</v>
      </c>
      <c r="V30" s="253">
        <v>0</v>
      </c>
      <c r="W30" s="253">
        <v>0</v>
      </c>
      <c r="X30" s="253">
        <v>0</v>
      </c>
      <c r="Y30" s="253">
        <v>0</v>
      </c>
      <c r="Z30" s="253">
        <v>0</v>
      </c>
      <c r="AA30" s="253">
        <v>0</v>
      </c>
      <c r="AB30" s="253">
        <v>0</v>
      </c>
      <c r="AC30" s="253">
        <v>0</v>
      </c>
      <c r="AD30" s="253">
        <v>0</v>
      </c>
      <c r="AE30" s="253">
        <v>0</v>
      </c>
      <c r="AF30" s="253">
        <v>0</v>
      </c>
      <c r="AG30" s="253">
        <v>0</v>
      </c>
      <c r="AH30" s="253">
        <v>0</v>
      </c>
      <c r="AI30" s="253">
        <v>0</v>
      </c>
      <c r="AJ30" s="253">
        <v>0</v>
      </c>
      <c r="AK30" s="253">
        <v>0</v>
      </c>
      <c r="AL30" s="253">
        <v>0</v>
      </c>
      <c r="AM30" s="253">
        <v>0</v>
      </c>
      <c r="AN30" s="253">
        <v>0</v>
      </c>
      <c r="AO30" s="253">
        <v>0</v>
      </c>
      <c r="AP30" s="253">
        <v>0</v>
      </c>
      <c r="AQ30" s="253">
        <v>0</v>
      </c>
      <c r="AR30" s="253">
        <v>0</v>
      </c>
      <c r="AS30" s="253">
        <v>0</v>
      </c>
      <c r="AT30" s="253">
        <v>0</v>
      </c>
      <c r="AU30" s="253">
        <v>0</v>
      </c>
      <c r="AV30" s="253">
        <v>0</v>
      </c>
      <c r="AW30" s="253">
        <v>0</v>
      </c>
      <c r="AX30" s="253">
        <v>0</v>
      </c>
      <c r="AY30" s="253">
        <v>0</v>
      </c>
      <c r="AZ30" s="253">
        <v>0</v>
      </c>
      <c r="BA30" s="253">
        <v>0</v>
      </c>
      <c r="BB30" s="253">
        <v>0</v>
      </c>
      <c r="BC30" s="253">
        <f t="shared" si="7"/>
        <v>0</v>
      </c>
      <c r="BD30" s="253">
        <f t="shared" si="8"/>
        <v>0</v>
      </c>
      <c r="BE30" s="253">
        <f t="shared" si="9"/>
        <v>0</v>
      </c>
      <c r="BF30" s="253">
        <f t="shared" si="10"/>
        <v>0</v>
      </c>
      <c r="BG30" s="253">
        <f t="shared" si="11"/>
        <v>0</v>
      </c>
      <c r="BH30" s="66"/>
    </row>
    <row r="31" spans="1:60" s="65" customFormat="1" ht="78.75">
      <c r="A31" s="118" t="s">
        <v>743</v>
      </c>
      <c r="B31" s="144" t="s">
        <v>889</v>
      </c>
      <c r="C31" s="125" t="s">
        <v>876</v>
      </c>
      <c r="D31" s="160" t="s">
        <v>876</v>
      </c>
      <c r="E31" s="253">
        <f t="shared" si="2"/>
        <v>0</v>
      </c>
      <c r="F31" s="253">
        <f t="shared" si="3"/>
        <v>0</v>
      </c>
      <c r="G31" s="253">
        <f t="shared" si="4"/>
        <v>0</v>
      </c>
      <c r="H31" s="253">
        <f t="shared" si="5"/>
        <v>0</v>
      </c>
      <c r="I31" s="253">
        <f t="shared" si="6"/>
        <v>0</v>
      </c>
      <c r="J31" s="253">
        <v>0</v>
      </c>
      <c r="K31" s="253">
        <v>0</v>
      </c>
      <c r="L31" s="253">
        <v>0</v>
      </c>
      <c r="M31" s="253">
        <v>0</v>
      </c>
      <c r="N31" s="253">
        <v>0</v>
      </c>
      <c r="O31" s="253">
        <v>0</v>
      </c>
      <c r="P31" s="253">
        <v>0</v>
      </c>
      <c r="Q31" s="253">
        <v>0</v>
      </c>
      <c r="R31" s="253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3">
        <v>0</v>
      </c>
      <c r="Y31" s="253">
        <v>0</v>
      </c>
      <c r="Z31" s="253">
        <v>0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>
        <v>0</v>
      </c>
      <c r="AG31" s="253">
        <v>0</v>
      </c>
      <c r="AH31" s="253">
        <v>0</v>
      </c>
      <c r="AI31" s="253">
        <v>0</v>
      </c>
      <c r="AJ31" s="253">
        <v>0</v>
      </c>
      <c r="AK31" s="253">
        <v>0</v>
      </c>
      <c r="AL31" s="253">
        <v>0</v>
      </c>
      <c r="AM31" s="253">
        <v>0</v>
      </c>
      <c r="AN31" s="253">
        <v>0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53">
        <v>0</v>
      </c>
      <c r="AU31" s="253">
        <v>0</v>
      </c>
      <c r="AV31" s="253">
        <v>0</v>
      </c>
      <c r="AW31" s="253">
        <v>0</v>
      </c>
      <c r="AX31" s="253">
        <v>0</v>
      </c>
      <c r="AY31" s="253">
        <v>0</v>
      </c>
      <c r="AZ31" s="253">
        <v>0</v>
      </c>
      <c r="BA31" s="253">
        <v>0</v>
      </c>
      <c r="BB31" s="253">
        <v>0</v>
      </c>
      <c r="BC31" s="253">
        <f t="shared" si="7"/>
        <v>0</v>
      </c>
      <c r="BD31" s="253">
        <f t="shared" si="8"/>
        <v>0</v>
      </c>
      <c r="BE31" s="253">
        <f t="shared" si="9"/>
        <v>0</v>
      </c>
      <c r="BF31" s="253">
        <f t="shared" si="10"/>
        <v>0</v>
      </c>
      <c r="BG31" s="253">
        <f t="shared" si="11"/>
        <v>0</v>
      </c>
      <c r="BH31" s="66"/>
    </row>
    <row r="32" spans="1:60" s="65" customFormat="1" ht="110.25">
      <c r="A32" s="146" t="s">
        <v>387</v>
      </c>
      <c r="B32" s="144" t="s">
        <v>890</v>
      </c>
      <c r="C32" s="125" t="s">
        <v>876</v>
      </c>
      <c r="D32" s="160" t="s">
        <v>876</v>
      </c>
      <c r="E32" s="253">
        <f t="shared" si="2"/>
        <v>0</v>
      </c>
      <c r="F32" s="253">
        <f t="shared" si="3"/>
        <v>0</v>
      </c>
      <c r="G32" s="253">
        <f t="shared" si="4"/>
        <v>0</v>
      </c>
      <c r="H32" s="253">
        <f t="shared" si="5"/>
        <v>0</v>
      </c>
      <c r="I32" s="253">
        <f t="shared" si="6"/>
        <v>0</v>
      </c>
      <c r="J32" s="253">
        <v>0</v>
      </c>
      <c r="K32" s="253">
        <v>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>
        <v>0</v>
      </c>
      <c r="S32" s="253">
        <v>0</v>
      </c>
      <c r="T32" s="253">
        <v>0</v>
      </c>
      <c r="U32" s="253">
        <v>0</v>
      </c>
      <c r="V32" s="253">
        <v>0</v>
      </c>
      <c r="W32" s="253">
        <v>0</v>
      </c>
      <c r="X32" s="253">
        <v>0</v>
      </c>
      <c r="Y32" s="253">
        <v>0</v>
      </c>
      <c r="Z32" s="253">
        <v>0</v>
      </c>
      <c r="AA32" s="253">
        <v>0</v>
      </c>
      <c r="AB32" s="253">
        <v>0</v>
      </c>
      <c r="AC32" s="253">
        <v>0</v>
      </c>
      <c r="AD32" s="253">
        <v>0</v>
      </c>
      <c r="AE32" s="253">
        <v>0</v>
      </c>
      <c r="AF32" s="253">
        <v>0</v>
      </c>
      <c r="AG32" s="253">
        <v>0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53">
        <v>0</v>
      </c>
      <c r="AN32" s="253">
        <v>0</v>
      </c>
      <c r="AO32" s="253">
        <v>0</v>
      </c>
      <c r="AP32" s="253">
        <v>0</v>
      </c>
      <c r="AQ32" s="253">
        <v>0</v>
      </c>
      <c r="AR32" s="253">
        <v>0</v>
      </c>
      <c r="AS32" s="253">
        <v>0</v>
      </c>
      <c r="AT32" s="253">
        <v>0</v>
      </c>
      <c r="AU32" s="253">
        <v>0</v>
      </c>
      <c r="AV32" s="253">
        <v>0</v>
      </c>
      <c r="AW32" s="253">
        <v>0</v>
      </c>
      <c r="AX32" s="253">
        <v>0</v>
      </c>
      <c r="AY32" s="253">
        <v>0</v>
      </c>
      <c r="AZ32" s="253">
        <v>0</v>
      </c>
      <c r="BA32" s="253">
        <v>0</v>
      </c>
      <c r="BB32" s="253">
        <v>0</v>
      </c>
      <c r="BC32" s="253">
        <f t="shared" si="7"/>
        <v>0</v>
      </c>
      <c r="BD32" s="253">
        <f t="shared" si="8"/>
        <v>0</v>
      </c>
      <c r="BE32" s="253">
        <f t="shared" si="9"/>
        <v>0</v>
      </c>
      <c r="BF32" s="253">
        <f t="shared" si="10"/>
        <v>0</v>
      </c>
      <c r="BG32" s="253">
        <f t="shared" si="11"/>
        <v>0</v>
      </c>
      <c r="BH32" s="66"/>
    </row>
    <row r="33" spans="1:60" s="65" customFormat="1" ht="236.25">
      <c r="A33" s="123" t="s">
        <v>389</v>
      </c>
      <c r="B33" s="141" t="s">
        <v>891</v>
      </c>
      <c r="C33" s="119" t="s">
        <v>892</v>
      </c>
      <c r="D33" s="163" t="s">
        <v>876</v>
      </c>
      <c r="E33" s="253">
        <f t="shared" si="2"/>
        <v>0</v>
      </c>
      <c r="F33" s="253">
        <f t="shared" si="3"/>
        <v>0</v>
      </c>
      <c r="G33" s="253">
        <f t="shared" si="4"/>
        <v>0</v>
      </c>
      <c r="H33" s="253">
        <f t="shared" si="5"/>
        <v>0</v>
      </c>
      <c r="I33" s="253">
        <f t="shared" si="6"/>
        <v>0</v>
      </c>
      <c r="J33" s="253">
        <v>0</v>
      </c>
      <c r="K33" s="253">
        <v>0</v>
      </c>
      <c r="L33" s="253">
        <v>0</v>
      </c>
      <c r="M33" s="253">
        <v>0</v>
      </c>
      <c r="N33" s="253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9">
        <v>0</v>
      </c>
      <c r="AA33" s="159">
        <v>0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9">
        <v>0</v>
      </c>
      <c r="AH33" s="159">
        <v>0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9">
        <v>0</v>
      </c>
      <c r="AO33" s="159">
        <v>0</v>
      </c>
      <c r="AP33" s="159">
        <v>0</v>
      </c>
      <c r="AQ33" s="159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159">
        <v>0</v>
      </c>
      <c r="AY33" s="159">
        <v>0</v>
      </c>
      <c r="AZ33" s="159">
        <v>0</v>
      </c>
      <c r="BA33" s="159">
        <v>0</v>
      </c>
      <c r="BB33" s="159">
        <v>0</v>
      </c>
      <c r="BC33" s="159">
        <f t="shared" si="7"/>
        <v>0</v>
      </c>
      <c r="BD33" s="159">
        <f t="shared" si="8"/>
        <v>0</v>
      </c>
      <c r="BE33" s="159">
        <f t="shared" si="9"/>
        <v>0</v>
      </c>
      <c r="BF33" s="159">
        <f t="shared" si="10"/>
        <v>0</v>
      </c>
      <c r="BG33" s="159">
        <f t="shared" si="11"/>
        <v>0</v>
      </c>
      <c r="BH33" s="66"/>
    </row>
    <row r="34" spans="1:60" s="65" customFormat="1" ht="63">
      <c r="A34" s="123" t="s">
        <v>1074</v>
      </c>
      <c r="B34" s="128" t="s">
        <v>1080</v>
      </c>
      <c r="C34" s="119" t="s">
        <v>876</v>
      </c>
      <c r="D34" s="163" t="s">
        <v>876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0</v>
      </c>
      <c r="N34" s="253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f t="shared" si="7"/>
        <v>0</v>
      </c>
      <c r="BD34" s="159">
        <f t="shared" si="8"/>
        <v>0</v>
      </c>
      <c r="BE34" s="159">
        <f t="shared" si="9"/>
        <v>0</v>
      </c>
      <c r="BF34" s="159">
        <f t="shared" si="10"/>
        <v>0</v>
      </c>
      <c r="BG34" s="159">
        <f t="shared" si="11"/>
        <v>0</v>
      </c>
      <c r="BH34" s="111"/>
    </row>
    <row r="35" spans="1:60" s="65" customFormat="1" ht="63">
      <c r="A35" s="123" t="s">
        <v>1075</v>
      </c>
      <c r="B35" s="128" t="s">
        <v>1081</v>
      </c>
      <c r="C35" s="119" t="s">
        <v>876</v>
      </c>
      <c r="D35" s="163" t="s">
        <v>876</v>
      </c>
      <c r="E35" s="253">
        <v>0</v>
      </c>
      <c r="F35" s="253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253">
        <v>0</v>
      </c>
      <c r="N35" s="253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9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9">
        <v>0</v>
      </c>
      <c r="AO35" s="159">
        <v>0</v>
      </c>
      <c r="AP35" s="159">
        <v>0</v>
      </c>
      <c r="AQ35" s="159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159">
        <v>0</v>
      </c>
      <c r="AY35" s="159">
        <v>0</v>
      </c>
      <c r="AZ35" s="159">
        <v>0</v>
      </c>
      <c r="BA35" s="159">
        <v>0</v>
      </c>
      <c r="BB35" s="159">
        <v>0</v>
      </c>
      <c r="BC35" s="159">
        <f t="shared" si="7"/>
        <v>0</v>
      </c>
      <c r="BD35" s="159">
        <f t="shared" si="8"/>
        <v>0</v>
      </c>
      <c r="BE35" s="159">
        <f t="shared" si="9"/>
        <v>0</v>
      </c>
      <c r="BF35" s="159">
        <f t="shared" si="10"/>
        <v>0</v>
      </c>
      <c r="BG35" s="159">
        <f t="shared" si="11"/>
        <v>0</v>
      </c>
      <c r="BH35" s="111"/>
    </row>
    <row r="36" spans="1:60" s="65" customFormat="1" ht="63">
      <c r="A36" s="123" t="s">
        <v>1076</v>
      </c>
      <c r="B36" s="128" t="s">
        <v>1082</v>
      </c>
      <c r="C36" s="119" t="s">
        <v>876</v>
      </c>
      <c r="D36" s="163" t="s">
        <v>876</v>
      </c>
      <c r="E36" s="253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253">
        <v>0</v>
      </c>
      <c r="N36" s="253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59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159">
        <v>0</v>
      </c>
      <c r="AY36" s="159">
        <v>0</v>
      </c>
      <c r="AZ36" s="159">
        <v>0</v>
      </c>
      <c r="BA36" s="159">
        <v>0</v>
      </c>
      <c r="BB36" s="159">
        <v>0</v>
      </c>
      <c r="BC36" s="159">
        <f t="shared" si="7"/>
        <v>0</v>
      </c>
      <c r="BD36" s="159">
        <f t="shared" si="8"/>
        <v>0</v>
      </c>
      <c r="BE36" s="159">
        <f t="shared" si="9"/>
        <v>0</v>
      </c>
      <c r="BF36" s="159">
        <f t="shared" si="10"/>
        <v>0</v>
      </c>
      <c r="BG36" s="159">
        <f t="shared" si="11"/>
        <v>0</v>
      </c>
      <c r="BH36" s="111"/>
    </row>
    <row r="37" spans="1:60" s="65" customFormat="1" ht="78.75">
      <c r="A37" s="123" t="s">
        <v>1077</v>
      </c>
      <c r="B37" s="128" t="s">
        <v>1083</v>
      </c>
      <c r="C37" s="119" t="s">
        <v>876</v>
      </c>
      <c r="D37" s="163" t="s">
        <v>876</v>
      </c>
      <c r="E37" s="253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9">
        <v>0</v>
      </c>
      <c r="AF37" s="159">
        <v>0</v>
      </c>
      <c r="AG37" s="159">
        <v>0</v>
      </c>
      <c r="AH37" s="159">
        <v>0</v>
      </c>
      <c r="AI37" s="159">
        <v>0</v>
      </c>
      <c r="AJ37" s="159">
        <v>0</v>
      </c>
      <c r="AK37" s="159">
        <v>0</v>
      </c>
      <c r="AL37" s="159">
        <v>0</v>
      </c>
      <c r="AM37" s="159">
        <v>0</v>
      </c>
      <c r="AN37" s="159">
        <v>0</v>
      </c>
      <c r="AO37" s="159">
        <v>0</v>
      </c>
      <c r="AP37" s="159">
        <v>0</v>
      </c>
      <c r="AQ37" s="159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159">
        <v>0</v>
      </c>
      <c r="AY37" s="159">
        <v>0</v>
      </c>
      <c r="AZ37" s="159">
        <v>0</v>
      </c>
      <c r="BA37" s="159">
        <v>0</v>
      </c>
      <c r="BB37" s="159">
        <v>0</v>
      </c>
      <c r="BC37" s="159">
        <f t="shared" si="7"/>
        <v>0</v>
      </c>
      <c r="BD37" s="159">
        <f t="shared" si="8"/>
        <v>0</v>
      </c>
      <c r="BE37" s="159">
        <f t="shared" si="9"/>
        <v>0</v>
      </c>
      <c r="BF37" s="159">
        <f t="shared" si="10"/>
        <v>0</v>
      </c>
      <c r="BG37" s="159">
        <f t="shared" si="11"/>
        <v>0</v>
      </c>
      <c r="BH37" s="111"/>
    </row>
    <row r="38" spans="1:60" s="65" customFormat="1" ht="47.25">
      <c r="A38" s="123" t="s">
        <v>1078</v>
      </c>
      <c r="B38" s="128" t="s">
        <v>1084</v>
      </c>
      <c r="C38" s="119" t="s">
        <v>876</v>
      </c>
      <c r="D38" s="163" t="s">
        <v>876</v>
      </c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253">
        <v>0</v>
      </c>
      <c r="N38" s="253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f t="shared" si="7"/>
        <v>0</v>
      </c>
      <c r="BD38" s="159">
        <f t="shared" si="8"/>
        <v>0</v>
      </c>
      <c r="BE38" s="159">
        <f t="shared" si="9"/>
        <v>0</v>
      </c>
      <c r="BF38" s="159">
        <f t="shared" si="10"/>
        <v>0</v>
      </c>
      <c r="BG38" s="159">
        <f t="shared" si="11"/>
        <v>0</v>
      </c>
      <c r="BH38" s="111"/>
    </row>
    <row r="39" spans="1:60" s="65" customFormat="1" ht="78.75">
      <c r="A39" s="123" t="s">
        <v>1079</v>
      </c>
      <c r="B39" s="128" t="s">
        <v>1085</v>
      </c>
      <c r="C39" s="119" t="s">
        <v>876</v>
      </c>
      <c r="D39" s="163" t="s">
        <v>876</v>
      </c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159">
        <v>0</v>
      </c>
      <c r="Y39" s="159">
        <v>0</v>
      </c>
      <c r="Z39" s="159">
        <v>0</v>
      </c>
      <c r="AA39" s="159">
        <v>0</v>
      </c>
      <c r="AB39" s="159">
        <v>0</v>
      </c>
      <c r="AC39" s="159">
        <v>0</v>
      </c>
      <c r="AD39" s="159">
        <v>0</v>
      </c>
      <c r="AE39" s="159">
        <v>0</v>
      </c>
      <c r="AF39" s="159">
        <v>0</v>
      </c>
      <c r="AG39" s="159">
        <v>0</v>
      </c>
      <c r="AH39" s="159">
        <v>0</v>
      </c>
      <c r="AI39" s="159">
        <v>0</v>
      </c>
      <c r="AJ39" s="159">
        <v>0</v>
      </c>
      <c r="AK39" s="159">
        <v>0</v>
      </c>
      <c r="AL39" s="159">
        <v>0</v>
      </c>
      <c r="AM39" s="159">
        <v>0</v>
      </c>
      <c r="AN39" s="159">
        <v>0</v>
      </c>
      <c r="AO39" s="159">
        <v>0</v>
      </c>
      <c r="AP39" s="159">
        <v>0</v>
      </c>
      <c r="AQ39" s="159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159">
        <v>0</v>
      </c>
      <c r="AY39" s="159">
        <v>0</v>
      </c>
      <c r="AZ39" s="159">
        <v>0</v>
      </c>
      <c r="BA39" s="159">
        <v>0</v>
      </c>
      <c r="BB39" s="159">
        <v>0</v>
      </c>
      <c r="BC39" s="159">
        <f t="shared" si="7"/>
        <v>0</v>
      </c>
      <c r="BD39" s="159">
        <f t="shared" si="8"/>
        <v>0</v>
      </c>
      <c r="BE39" s="159">
        <f t="shared" si="9"/>
        <v>0</v>
      </c>
      <c r="BF39" s="159">
        <f t="shared" si="10"/>
        <v>0</v>
      </c>
      <c r="BG39" s="159">
        <f t="shared" si="11"/>
        <v>0</v>
      </c>
      <c r="BH39" s="111"/>
    </row>
    <row r="40" spans="1:60" s="65" customFormat="1" ht="110.25">
      <c r="A40" s="146" t="s">
        <v>392</v>
      </c>
      <c r="B40" s="144" t="s">
        <v>893</v>
      </c>
      <c r="C40" s="125" t="s">
        <v>876</v>
      </c>
      <c r="D40" s="163" t="s">
        <v>876</v>
      </c>
      <c r="E40" s="253">
        <f t="shared" si="2"/>
        <v>0</v>
      </c>
      <c r="F40" s="253">
        <f t="shared" si="3"/>
        <v>0</v>
      </c>
      <c r="G40" s="253">
        <f t="shared" si="4"/>
        <v>0</v>
      </c>
      <c r="H40" s="253">
        <f t="shared" si="5"/>
        <v>0</v>
      </c>
      <c r="I40" s="253">
        <f t="shared" si="6"/>
        <v>0</v>
      </c>
      <c r="J40" s="253">
        <v>0</v>
      </c>
      <c r="K40" s="253">
        <v>0</v>
      </c>
      <c r="L40" s="253">
        <v>0</v>
      </c>
      <c r="M40" s="253">
        <v>0</v>
      </c>
      <c r="N40" s="253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9">
        <v>0</v>
      </c>
      <c r="AF40" s="159">
        <v>0</v>
      </c>
      <c r="AG40" s="159">
        <v>0</v>
      </c>
      <c r="AH40" s="159">
        <v>0</v>
      </c>
      <c r="AI40" s="159">
        <v>0</v>
      </c>
      <c r="AJ40" s="159">
        <v>0</v>
      </c>
      <c r="AK40" s="159">
        <v>0</v>
      </c>
      <c r="AL40" s="159">
        <v>0</v>
      </c>
      <c r="AM40" s="159">
        <v>0</v>
      </c>
      <c r="AN40" s="159">
        <v>0</v>
      </c>
      <c r="AO40" s="159">
        <v>0</v>
      </c>
      <c r="AP40" s="159">
        <v>0</v>
      </c>
      <c r="AQ40" s="159">
        <v>0</v>
      </c>
      <c r="AR40" s="159">
        <v>0</v>
      </c>
      <c r="AS40" s="159">
        <v>0</v>
      </c>
      <c r="AT40" s="159">
        <v>0</v>
      </c>
      <c r="AU40" s="159">
        <v>0</v>
      </c>
      <c r="AV40" s="159">
        <v>0</v>
      </c>
      <c r="AW40" s="159">
        <v>0</v>
      </c>
      <c r="AX40" s="159">
        <v>0</v>
      </c>
      <c r="AY40" s="159">
        <v>0</v>
      </c>
      <c r="AZ40" s="159">
        <v>0</v>
      </c>
      <c r="BA40" s="159">
        <v>0</v>
      </c>
      <c r="BB40" s="159">
        <v>0</v>
      </c>
      <c r="BC40" s="159">
        <f t="shared" si="7"/>
        <v>0</v>
      </c>
      <c r="BD40" s="159">
        <f t="shared" si="8"/>
        <v>0</v>
      </c>
      <c r="BE40" s="159">
        <f t="shared" si="9"/>
        <v>0</v>
      </c>
      <c r="BF40" s="159">
        <f t="shared" si="10"/>
        <v>0</v>
      </c>
      <c r="BG40" s="159">
        <f t="shared" si="11"/>
        <v>0</v>
      </c>
      <c r="BH40" s="66"/>
    </row>
    <row r="41" spans="1:60" s="65" customFormat="1" ht="78.75">
      <c r="A41" s="123" t="s">
        <v>1094</v>
      </c>
      <c r="B41" s="141" t="s">
        <v>1095</v>
      </c>
      <c r="C41" s="125" t="s">
        <v>876</v>
      </c>
      <c r="D41" s="163" t="s">
        <v>876</v>
      </c>
      <c r="E41" s="253">
        <v>0</v>
      </c>
      <c r="F41" s="253">
        <v>0</v>
      </c>
      <c r="G41" s="253">
        <v>0</v>
      </c>
      <c r="H41" s="253">
        <v>0</v>
      </c>
      <c r="I41" s="253">
        <v>0</v>
      </c>
      <c r="J41" s="253">
        <v>0</v>
      </c>
      <c r="K41" s="253">
        <v>0</v>
      </c>
      <c r="L41" s="253">
        <v>0</v>
      </c>
      <c r="M41" s="253">
        <v>0</v>
      </c>
      <c r="N41" s="253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9">
        <v>0</v>
      </c>
      <c r="AF41" s="159">
        <v>0</v>
      </c>
      <c r="AG41" s="159">
        <v>0</v>
      </c>
      <c r="AH41" s="159">
        <v>0</v>
      </c>
      <c r="AI41" s="159">
        <v>0</v>
      </c>
      <c r="AJ41" s="159">
        <v>0</v>
      </c>
      <c r="AK41" s="159">
        <v>0</v>
      </c>
      <c r="AL41" s="159">
        <v>0</v>
      </c>
      <c r="AM41" s="159">
        <v>0</v>
      </c>
      <c r="AN41" s="159">
        <v>0</v>
      </c>
      <c r="AO41" s="159">
        <v>0</v>
      </c>
      <c r="AP41" s="159">
        <v>0</v>
      </c>
      <c r="AQ41" s="159">
        <v>0</v>
      </c>
      <c r="AR41" s="159">
        <v>0</v>
      </c>
      <c r="AS41" s="159">
        <v>0</v>
      </c>
      <c r="AT41" s="159">
        <v>0</v>
      </c>
      <c r="AU41" s="159">
        <v>0</v>
      </c>
      <c r="AV41" s="159">
        <v>0</v>
      </c>
      <c r="AW41" s="159">
        <v>0</v>
      </c>
      <c r="AX41" s="159">
        <v>0</v>
      </c>
      <c r="AY41" s="159">
        <v>0</v>
      </c>
      <c r="AZ41" s="159">
        <v>0</v>
      </c>
      <c r="BA41" s="159">
        <v>0</v>
      </c>
      <c r="BB41" s="159">
        <v>0</v>
      </c>
      <c r="BC41" s="159">
        <f t="shared" si="7"/>
        <v>0</v>
      </c>
      <c r="BD41" s="159">
        <f t="shared" si="8"/>
        <v>0</v>
      </c>
      <c r="BE41" s="159">
        <f t="shared" si="9"/>
        <v>0</v>
      </c>
      <c r="BF41" s="159">
        <f t="shared" si="10"/>
        <v>0</v>
      </c>
      <c r="BG41" s="159">
        <f t="shared" si="11"/>
        <v>0</v>
      </c>
      <c r="BH41" s="154"/>
    </row>
    <row r="42" spans="1:60" s="65" customFormat="1" ht="78.75">
      <c r="A42" s="123" t="s">
        <v>1096</v>
      </c>
      <c r="B42" s="141" t="s">
        <v>1100</v>
      </c>
      <c r="C42" s="125" t="s">
        <v>876</v>
      </c>
      <c r="D42" s="163" t="s">
        <v>876</v>
      </c>
      <c r="E42" s="253">
        <v>0</v>
      </c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159">
        <v>0</v>
      </c>
      <c r="Y42" s="159">
        <v>0</v>
      </c>
      <c r="Z42" s="159">
        <v>0</v>
      </c>
      <c r="AA42" s="159">
        <v>0</v>
      </c>
      <c r="AB42" s="159">
        <v>0</v>
      </c>
      <c r="AC42" s="159">
        <v>0</v>
      </c>
      <c r="AD42" s="159">
        <v>0</v>
      </c>
      <c r="AE42" s="159">
        <v>0</v>
      </c>
      <c r="AF42" s="159">
        <v>0</v>
      </c>
      <c r="AG42" s="159">
        <v>0</v>
      </c>
      <c r="AH42" s="159">
        <v>0</v>
      </c>
      <c r="AI42" s="159">
        <v>0</v>
      </c>
      <c r="AJ42" s="159">
        <v>0</v>
      </c>
      <c r="AK42" s="159">
        <v>0</v>
      </c>
      <c r="AL42" s="159">
        <v>0</v>
      </c>
      <c r="AM42" s="159">
        <v>0</v>
      </c>
      <c r="AN42" s="159">
        <v>0</v>
      </c>
      <c r="AO42" s="159">
        <v>0</v>
      </c>
      <c r="AP42" s="159">
        <v>0</v>
      </c>
      <c r="AQ42" s="159">
        <v>0</v>
      </c>
      <c r="AR42" s="159">
        <v>0</v>
      </c>
      <c r="AS42" s="159">
        <v>0</v>
      </c>
      <c r="AT42" s="159">
        <v>0</v>
      </c>
      <c r="AU42" s="159">
        <v>0</v>
      </c>
      <c r="AV42" s="159">
        <v>0</v>
      </c>
      <c r="AW42" s="159">
        <v>0</v>
      </c>
      <c r="AX42" s="159">
        <v>0</v>
      </c>
      <c r="AY42" s="159">
        <v>0</v>
      </c>
      <c r="AZ42" s="159">
        <v>0</v>
      </c>
      <c r="BA42" s="159">
        <v>0</v>
      </c>
      <c r="BB42" s="159">
        <v>0</v>
      </c>
      <c r="BC42" s="159">
        <f t="shared" si="7"/>
        <v>0</v>
      </c>
      <c r="BD42" s="159">
        <f t="shared" si="8"/>
        <v>0</v>
      </c>
      <c r="BE42" s="159">
        <f t="shared" si="9"/>
        <v>0</v>
      </c>
      <c r="BF42" s="159">
        <f t="shared" si="10"/>
        <v>0</v>
      </c>
      <c r="BG42" s="159">
        <f t="shared" si="11"/>
        <v>0</v>
      </c>
      <c r="BH42" s="154"/>
    </row>
    <row r="43" spans="1:60" s="65" customFormat="1" ht="78.75">
      <c r="A43" s="123" t="s">
        <v>1097</v>
      </c>
      <c r="B43" s="141" t="s">
        <v>1101</v>
      </c>
      <c r="C43" s="125" t="s">
        <v>876</v>
      </c>
      <c r="D43" s="163" t="s">
        <v>876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253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59">
        <v>0</v>
      </c>
      <c r="AA43" s="159">
        <v>0</v>
      </c>
      <c r="AB43" s="159">
        <v>0</v>
      </c>
      <c r="AC43" s="159">
        <v>0</v>
      </c>
      <c r="AD43" s="159">
        <v>0</v>
      </c>
      <c r="AE43" s="159">
        <v>0</v>
      </c>
      <c r="AF43" s="159">
        <v>0</v>
      </c>
      <c r="AG43" s="159">
        <v>0</v>
      </c>
      <c r="AH43" s="159">
        <v>0</v>
      </c>
      <c r="AI43" s="159">
        <v>0</v>
      </c>
      <c r="AJ43" s="159">
        <v>0</v>
      </c>
      <c r="AK43" s="159">
        <v>0</v>
      </c>
      <c r="AL43" s="159">
        <v>0</v>
      </c>
      <c r="AM43" s="159">
        <v>0</v>
      </c>
      <c r="AN43" s="159">
        <v>0</v>
      </c>
      <c r="AO43" s="159">
        <v>0</v>
      </c>
      <c r="AP43" s="159">
        <v>0</v>
      </c>
      <c r="AQ43" s="159">
        <v>0</v>
      </c>
      <c r="AR43" s="159">
        <v>0</v>
      </c>
      <c r="AS43" s="159">
        <v>0</v>
      </c>
      <c r="AT43" s="159">
        <v>0</v>
      </c>
      <c r="AU43" s="159">
        <v>0</v>
      </c>
      <c r="AV43" s="159">
        <v>0</v>
      </c>
      <c r="AW43" s="159">
        <v>0</v>
      </c>
      <c r="AX43" s="159">
        <v>0</v>
      </c>
      <c r="AY43" s="159">
        <v>0</v>
      </c>
      <c r="AZ43" s="159">
        <v>0</v>
      </c>
      <c r="BA43" s="159">
        <v>0</v>
      </c>
      <c r="BB43" s="159">
        <v>0</v>
      </c>
      <c r="BC43" s="159">
        <f t="shared" si="7"/>
        <v>0</v>
      </c>
      <c r="BD43" s="159">
        <f t="shared" si="8"/>
        <v>0</v>
      </c>
      <c r="BE43" s="159">
        <f t="shared" si="9"/>
        <v>0</v>
      </c>
      <c r="BF43" s="159">
        <f t="shared" si="10"/>
        <v>0</v>
      </c>
      <c r="BG43" s="159">
        <f t="shared" si="11"/>
        <v>0</v>
      </c>
      <c r="BH43" s="154"/>
    </row>
    <row r="44" spans="1:60" s="65" customFormat="1" ht="78.75">
      <c r="A44" s="123" t="s">
        <v>1098</v>
      </c>
      <c r="B44" s="141" t="s">
        <v>1102</v>
      </c>
      <c r="C44" s="125" t="s">
        <v>876</v>
      </c>
      <c r="D44" s="163" t="s">
        <v>876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9">
        <v>0</v>
      </c>
      <c r="AF44" s="159">
        <v>0</v>
      </c>
      <c r="AG44" s="159">
        <v>0</v>
      </c>
      <c r="AH44" s="159">
        <v>0</v>
      </c>
      <c r="AI44" s="159">
        <v>0</v>
      </c>
      <c r="AJ44" s="159">
        <v>0</v>
      </c>
      <c r="AK44" s="159">
        <v>0</v>
      </c>
      <c r="AL44" s="159">
        <v>0</v>
      </c>
      <c r="AM44" s="159">
        <v>0</v>
      </c>
      <c r="AN44" s="159">
        <v>0</v>
      </c>
      <c r="AO44" s="159">
        <v>0</v>
      </c>
      <c r="AP44" s="159">
        <v>0</v>
      </c>
      <c r="AQ44" s="159">
        <v>0</v>
      </c>
      <c r="AR44" s="159">
        <v>0</v>
      </c>
      <c r="AS44" s="159">
        <v>0</v>
      </c>
      <c r="AT44" s="159">
        <v>0</v>
      </c>
      <c r="AU44" s="159">
        <v>0</v>
      </c>
      <c r="AV44" s="159">
        <v>0</v>
      </c>
      <c r="AW44" s="159">
        <v>0</v>
      </c>
      <c r="AX44" s="159">
        <v>0</v>
      </c>
      <c r="AY44" s="159">
        <v>0</v>
      </c>
      <c r="AZ44" s="159">
        <v>0</v>
      </c>
      <c r="BA44" s="159">
        <v>0</v>
      </c>
      <c r="BB44" s="159">
        <v>0</v>
      </c>
      <c r="BC44" s="159">
        <f t="shared" si="7"/>
        <v>0</v>
      </c>
      <c r="BD44" s="159">
        <f t="shared" si="8"/>
        <v>0</v>
      </c>
      <c r="BE44" s="159">
        <f t="shared" si="9"/>
        <v>0</v>
      </c>
      <c r="BF44" s="159">
        <f t="shared" si="10"/>
        <v>0</v>
      </c>
      <c r="BG44" s="159">
        <f t="shared" si="11"/>
        <v>0</v>
      </c>
      <c r="BH44" s="154"/>
    </row>
    <row r="45" spans="1:60" s="65" customFormat="1" ht="78.75">
      <c r="A45" s="123" t="s">
        <v>1099</v>
      </c>
      <c r="B45" s="141" t="s">
        <v>1103</v>
      </c>
      <c r="C45" s="125" t="s">
        <v>876</v>
      </c>
      <c r="D45" s="163" t="s">
        <v>876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AA45" s="159">
        <v>0</v>
      </c>
      <c r="AB45" s="159">
        <v>0</v>
      </c>
      <c r="AC45" s="159">
        <v>0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59">
        <v>0</v>
      </c>
      <c r="AK45" s="159">
        <v>0</v>
      </c>
      <c r="AL45" s="159">
        <v>0</v>
      </c>
      <c r="AM45" s="159">
        <v>0</v>
      </c>
      <c r="AN45" s="159">
        <v>0</v>
      </c>
      <c r="AO45" s="159">
        <v>0</v>
      </c>
      <c r="AP45" s="159">
        <v>0</v>
      </c>
      <c r="AQ45" s="159">
        <v>0</v>
      </c>
      <c r="AR45" s="159">
        <v>0</v>
      </c>
      <c r="AS45" s="159">
        <v>0</v>
      </c>
      <c r="AT45" s="159">
        <v>0</v>
      </c>
      <c r="AU45" s="159">
        <v>0</v>
      </c>
      <c r="AV45" s="159">
        <v>0</v>
      </c>
      <c r="AW45" s="159">
        <v>0</v>
      </c>
      <c r="AX45" s="159">
        <v>0</v>
      </c>
      <c r="AY45" s="159">
        <v>0</v>
      </c>
      <c r="AZ45" s="159">
        <v>0</v>
      </c>
      <c r="BA45" s="159">
        <v>0</v>
      </c>
      <c r="BB45" s="159">
        <v>0</v>
      </c>
      <c r="BC45" s="159">
        <f t="shared" si="7"/>
        <v>0</v>
      </c>
      <c r="BD45" s="159">
        <f t="shared" si="8"/>
        <v>0</v>
      </c>
      <c r="BE45" s="159">
        <f t="shared" si="9"/>
        <v>0</v>
      </c>
      <c r="BF45" s="159">
        <f t="shared" si="10"/>
        <v>0</v>
      </c>
      <c r="BG45" s="159">
        <f t="shared" si="11"/>
        <v>0</v>
      </c>
      <c r="BH45" s="154"/>
    </row>
    <row r="46" spans="1:60" s="65" customFormat="1" ht="94.5">
      <c r="A46" s="146" t="s">
        <v>394</v>
      </c>
      <c r="B46" s="144" t="s">
        <v>894</v>
      </c>
      <c r="C46" s="125" t="s">
        <v>876</v>
      </c>
      <c r="D46" s="163" t="s">
        <v>876</v>
      </c>
      <c r="E46" s="253">
        <f t="shared" si="2"/>
        <v>0</v>
      </c>
      <c r="F46" s="253">
        <f t="shared" si="3"/>
        <v>0</v>
      </c>
      <c r="G46" s="253">
        <f t="shared" si="4"/>
        <v>0</v>
      </c>
      <c r="H46" s="253">
        <f t="shared" si="5"/>
        <v>0</v>
      </c>
      <c r="I46" s="253">
        <f t="shared" si="6"/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159">
        <v>0</v>
      </c>
      <c r="Y46" s="159">
        <v>0</v>
      </c>
      <c r="Z46" s="159">
        <v>0</v>
      </c>
      <c r="AA46" s="159">
        <v>0</v>
      </c>
      <c r="AB46" s="159">
        <v>0</v>
      </c>
      <c r="AC46" s="159">
        <v>0</v>
      </c>
      <c r="AD46" s="159">
        <v>0</v>
      </c>
      <c r="AE46" s="159">
        <v>0</v>
      </c>
      <c r="AF46" s="159">
        <v>0</v>
      </c>
      <c r="AG46" s="159">
        <v>0</v>
      </c>
      <c r="AH46" s="159">
        <v>0</v>
      </c>
      <c r="AI46" s="159">
        <v>0</v>
      </c>
      <c r="AJ46" s="159">
        <v>0</v>
      </c>
      <c r="AK46" s="159">
        <v>0</v>
      </c>
      <c r="AL46" s="159">
        <v>0</v>
      </c>
      <c r="AM46" s="159">
        <v>0</v>
      </c>
      <c r="AN46" s="159">
        <v>0</v>
      </c>
      <c r="AO46" s="159">
        <v>0</v>
      </c>
      <c r="AP46" s="159">
        <v>0</v>
      </c>
      <c r="AQ46" s="159">
        <v>0</v>
      </c>
      <c r="AR46" s="159">
        <v>0</v>
      </c>
      <c r="AS46" s="159">
        <v>0</v>
      </c>
      <c r="AT46" s="159">
        <v>0</v>
      </c>
      <c r="AU46" s="159">
        <v>0</v>
      </c>
      <c r="AV46" s="159">
        <v>0</v>
      </c>
      <c r="AW46" s="159">
        <v>0</v>
      </c>
      <c r="AX46" s="159">
        <v>0</v>
      </c>
      <c r="AY46" s="159">
        <v>0</v>
      </c>
      <c r="AZ46" s="159">
        <v>0</v>
      </c>
      <c r="BA46" s="159">
        <v>0</v>
      </c>
      <c r="BB46" s="159">
        <v>0</v>
      </c>
      <c r="BC46" s="159">
        <f t="shared" si="7"/>
        <v>0</v>
      </c>
      <c r="BD46" s="159">
        <f t="shared" si="8"/>
        <v>0</v>
      </c>
      <c r="BE46" s="159">
        <f t="shared" si="9"/>
        <v>0</v>
      </c>
      <c r="BF46" s="159">
        <f t="shared" si="10"/>
        <v>0</v>
      </c>
      <c r="BG46" s="159">
        <f t="shared" si="11"/>
        <v>0</v>
      </c>
      <c r="BH46" s="66"/>
    </row>
    <row r="47" spans="1:60" s="65" customFormat="1" ht="63">
      <c r="A47" s="118" t="s">
        <v>744</v>
      </c>
      <c r="B47" s="144" t="s">
        <v>895</v>
      </c>
      <c r="C47" s="125" t="s">
        <v>876</v>
      </c>
      <c r="D47" s="163" t="s">
        <v>876</v>
      </c>
      <c r="E47" s="253">
        <f t="shared" si="2"/>
        <v>0</v>
      </c>
      <c r="F47" s="253">
        <f t="shared" si="3"/>
        <v>0</v>
      </c>
      <c r="G47" s="253">
        <f t="shared" si="4"/>
        <v>0</v>
      </c>
      <c r="H47" s="253">
        <f t="shared" si="5"/>
        <v>0</v>
      </c>
      <c r="I47" s="253">
        <f t="shared" si="6"/>
        <v>0</v>
      </c>
      <c r="J47" s="253">
        <v>0</v>
      </c>
      <c r="K47" s="253">
        <v>0</v>
      </c>
      <c r="L47" s="253">
        <v>0</v>
      </c>
      <c r="M47" s="253">
        <v>0</v>
      </c>
      <c r="N47" s="253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159">
        <v>0</v>
      </c>
      <c r="Y47" s="159">
        <v>0</v>
      </c>
      <c r="Z47" s="159">
        <v>0</v>
      </c>
      <c r="AA47" s="159">
        <v>0</v>
      </c>
      <c r="AB47" s="159">
        <v>0</v>
      </c>
      <c r="AC47" s="159">
        <v>0</v>
      </c>
      <c r="AD47" s="159">
        <v>0</v>
      </c>
      <c r="AE47" s="159">
        <v>0</v>
      </c>
      <c r="AF47" s="159">
        <v>0</v>
      </c>
      <c r="AG47" s="159">
        <v>0</v>
      </c>
      <c r="AH47" s="159">
        <v>0</v>
      </c>
      <c r="AI47" s="159">
        <v>0</v>
      </c>
      <c r="AJ47" s="159">
        <v>0</v>
      </c>
      <c r="AK47" s="159">
        <v>0</v>
      </c>
      <c r="AL47" s="159">
        <v>0</v>
      </c>
      <c r="AM47" s="159">
        <v>0</v>
      </c>
      <c r="AN47" s="159">
        <v>0</v>
      </c>
      <c r="AO47" s="159">
        <v>0</v>
      </c>
      <c r="AP47" s="159">
        <v>0</v>
      </c>
      <c r="AQ47" s="159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159">
        <v>0</v>
      </c>
      <c r="AY47" s="159">
        <v>0</v>
      </c>
      <c r="AZ47" s="159">
        <v>0</v>
      </c>
      <c r="BA47" s="159">
        <v>0</v>
      </c>
      <c r="BB47" s="159">
        <v>0</v>
      </c>
      <c r="BC47" s="159">
        <f t="shared" si="7"/>
        <v>0</v>
      </c>
      <c r="BD47" s="159">
        <f t="shared" si="8"/>
        <v>0</v>
      </c>
      <c r="BE47" s="159">
        <f t="shared" si="9"/>
        <v>0</v>
      </c>
      <c r="BF47" s="159">
        <f t="shared" si="10"/>
        <v>0</v>
      </c>
      <c r="BG47" s="159">
        <f t="shared" si="11"/>
        <v>0</v>
      </c>
      <c r="BH47" s="66"/>
    </row>
    <row r="48" spans="1:60" s="65" customFormat="1" ht="110.25">
      <c r="A48" s="146" t="s">
        <v>415</v>
      </c>
      <c r="B48" s="144" t="s">
        <v>896</v>
      </c>
      <c r="C48" s="125" t="s">
        <v>876</v>
      </c>
      <c r="D48" s="163" t="s">
        <v>876</v>
      </c>
      <c r="E48" s="253">
        <f t="shared" si="2"/>
        <v>0</v>
      </c>
      <c r="F48" s="253">
        <f t="shared" si="3"/>
        <v>0</v>
      </c>
      <c r="G48" s="253">
        <f t="shared" si="4"/>
        <v>0</v>
      </c>
      <c r="H48" s="253">
        <f t="shared" si="5"/>
        <v>0</v>
      </c>
      <c r="I48" s="253">
        <f t="shared" si="6"/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159">
        <v>0</v>
      </c>
      <c r="Y48" s="159">
        <v>0</v>
      </c>
      <c r="Z48" s="159">
        <v>0</v>
      </c>
      <c r="AA48" s="159">
        <v>0</v>
      </c>
      <c r="AB48" s="159">
        <v>0</v>
      </c>
      <c r="AC48" s="159">
        <v>0</v>
      </c>
      <c r="AD48" s="159">
        <v>0</v>
      </c>
      <c r="AE48" s="159">
        <v>0</v>
      </c>
      <c r="AF48" s="159">
        <v>0</v>
      </c>
      <c r="AG48" s="159">
        <v>0</v>
      </c>
      <c r="AH48" s="159">
        <v>0</v>
      </c>
      <c r="AI48" s="159">
        <v>0</v>
      </c>
      <c r="AJ48" s="159">
        <v>0</v>
      </c>
      <c r="AK48" s="159">
        <v>0</v>
      </c>
      <c r="AL48" s="159">
        <v>0</v>
      </c>
      <c r="AM48" s="159">
        <v>0</v>
      </c>
      <c r="AN48" s="159">
        <v>0</v>
      </c>
      <c r="AO48" s="159">
        <v>0</v>
      </c>
      <c r="AP48" s="159">
        <v>0</v>
      </c>
      <c r="AQ48" s="159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f t="shared" si="7"/>
        <v>0</v>
      </c>
      <c r="BD48" s="159">
        <f t="shared" si="8"/>
        <v>0</v>
      </c>
      <c r="BE48" s="159">
        <f t="shared" si="9"/>
        <v>0</v>
      </c>
      <c r="BF48" s="159">
        <f t="shared" si="10"/>
        <v>0</v>
      </c>
      <c r="BG48" s="159">
        <f t="shared" si="11"/>
        <v>0</v>
      </c>
      <c r="BH48" s="66"/>
    </row>
    <row r="49" spans="1:60" s="65" customFormat="1" ht="78.75">
      <c r="A49" s="146" t="s">
        <v>416</v>
      </c>
      <c r="B49" s="144" t="s">
        <v>897</v>
      </c>
      <c r="C49" s="125" t="s">
        <v>876</v>
      </c>
      <c r="D49" s="163" t="s">
        <v>876</v>
      </c>
      <c r="E49" s="253">
        <f t="shared" si="2"/>
        <v>0</v>
      </c>
      <c r="F49" s="253">
        <f t="shared" si="3"/>
        <v>0</v>
      </c>
      <c r="G49" s="253">
        <f t="shared" si="4"/>
        <v>0</v>
      </c>
      <c r="H49" s="253">
        <f t="shared" si="5"/>
        <v>0</v>
      </c>
      <c r="I49" s="253">
        <f t="shared" si="6"/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159">
        <v>0</v>
      </c>
      <c r="Y49" s="159">
        <v>0</v>
      </c>
      <c r="Z49" s="159">
        <v>0</v>
      </c>
      <c r="AA49" s="159">
        <v>0</v>
      </c>
      <c r="AB49" s="159">
        <v>0</v>
      </c>
      <c r="AC49" s="159">
        <v>0</v>
      </c>
      <c r="AD49" s="159">
        <v>0</v>
      </c>
      <c r="AE49" s="159">
        <v>0</v>
      </c>
      <c r="AF49" s="159">
        <v>0</v>
      </c>
      <c r="AG49" s="159">
        <v>0</v>
      </c>
      <c r="AH49" s="159">
        <v>0</v>
      </c>
      <c r="AI49" s="159">
        <v>0</v>
      </c>
      <c r="AJ49" s="159">
        <v>0</v>
      </c>
      <c r="AK49" s="159">
        <v>0</v>
      </c>
      <c r="AL49" s="159">
        <v>0</v>
      </c>
      <c r="AM49" s="159">
        <v>0</v>
      </c>
      <c r="AN49" s="159">
        <v>0</v>
      </c>
      <c r="AO49" s="159">
        <v>0</v>
      </c>
      <c r="AP49" s="159">
        <v>0</v>
      </c>
      <c r="AQ49" s="159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159">
        <v>0</v>
      </c>
      <c r="AY49" s="159">
        <v>0</v>
      </c>
      <c r="AZ49" s="159">
        <v>0</v>
      </c>
      <c r="BA49" s="159">
        <v>0</v>
      </c>
      <c r="BB49" s="159">
        <v>0</v>
      </c>
      <c r="BC49" s="159">
        <f t="shared" si="7"/>
        <v>0</v>
      </c>
      <c r="BD49" s="159">
        <f t="shared" si="8"/>
        <v>0</v>
      </c>
      <c r="BE49" s="159">
        <f t="shared" si="9"/>
        <v>0</v>
      </c>
      <c r="BF49" s="159">
        <f t="shared" si="10"/>
        <v>0</v>
      </c>
      <c r="BG49" s="159">
        <f t="shared" si="11"/>
        <v>0</v>
      </c>
      <c r="BH49" s="66"/>
    </row>
    <row r="50" spans="1:60" s="65" customFormat="1" ht="78.75">
      <c r="A50" s="118" t="s">
        <v>745</v>
      </c>
      <c r="B50" s="144" t="s">
        <v>898</v>
      </c>
      <c r="C50" s="125" t="s">
        <v>876</v>
      </c>
      <c r="D50" s="163" t="s">
        <v>876</v>
      </c>
      <c r="E50" s="253">
        <f t="shared" si="2"/>
        <v>0</v>
      </c>
      <c r="F50" s="253">
        <f t="shared" si="3"/>
        <v>0</v>
      </c>
      <c r="G50" s="253">
        <f t="shared" si="4"/>
        <v>0</v>
      </c>
      <c r="H50" s="253">
        <f t="shared" si="5"/>
        <v>0</v>
      </c>
      <c r="I50" s="253">
        <f t="shared" si="6"/>
        <v>0</v>
      </c>
      <c r="J50" s="253">
        <v>0</v>
      </c>
      <c r="K50" s="253">
        <v>0</v>
      </c>
      <c r="L50" s="253">
        <v>0</v>
      </c>
      <c r="M50" s="253">
        <v>0</v>
      </c>
      <c r="N50" s="253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59">
        <v>0</v>
      </c>
      <c r="AE50" s="159">
        <v>0</v>
      </c>
      <c r="AF50" s="159">
        <v>0</v>
      </c>
      <c r="AG50" s="159">
        <v>0</v>
      </c>
      <c r="AH50" s="159">
        <v>0</v>
      </c>
      <c r="AI50" s="159">
        <v>0</v>
      </c>
      <c r="AJ50" s="159">
        <v>0</v>
      </c>
      <c r="AK50" s="159">
        <v>0</v>
      </c>
      <c r="AL50" s="159">
        <v>0</v>
      </c>
      <c r="AM50" s="159">
        <v>0</v>
      </c>
      <c r="AN50" s="159">
        <v>0</v>
      </c>
      <c r="AO50" s="159">
        <v>0</v>
      </c>
      <c r="AP50" s="159">
        <v>0</v>
      </c>
      <c r="AQ50" s="159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159">
        <v>0</v>
      </c>
      <c r="AY50" s="159">
        <v>0</v>
      </c>
      <c r="AZ50" s="159">
        <v>0</v>
      </c>
      <c r="BA50" s="159">
        <v>0</v>
      </c>
      <c r="BB50" s="159">
        <v>0</v>
      </c>
      <c r="BC50" s="159">
        <f t="shared" si="7"/>
        <v>0</v>
      </c>
      <c r="BD50" s="159">
        <f t="shared" si="8"/>
        <v>0</v>
      </c>
      <c r="BE50" s="159">
        <f t="shared" si="9"/>
        <v>0</v>
      </c>
      <c r="BF50" s="159">
        <f t="shared" si="10"/>
        <v>0</v>
      </c>
      <c r="BG50" s="159">
        <f t="shared" si="11"/>
        <v>0</v>
      </c>
      <c r="BH50" s="66"/>
    </row>
    <row r="51" spans="1:60" s="65" customFormat="1" ht="63">
      <c r="A51" s="146" t="s">
        <v>899</v>
      </c>
      <c r="B51" s="144" t="s">
        <v>900</v>
      </c>
      <c r="C51" s="125" t="s">
        <v>876</v>
      </c>
      <c r="D51" s="163" t="s">
        <v>876</v>
      </c>
      <c r="E51" s="253">
        <f t="shared" si="2"/>
        <v>0</v>
      </c>
      <c r="F51" s="253">
        <f t="shared" si="3"/>
        <v>0</v>
      </c>
      <c r="G51" s="253">
        <f t="shared" si="4"/>
        <v>0</v>
      </c>
      <c r="H51" s="253">
        <f t="shared" si="5"/>
        <v>0</v>
      </c>
      <c r="I51" s="253">
        <f t="shared" si="6"/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159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159">
        <v>0</v>
      </c>
      <c r="AY51" s="159">
        <v>0</v>
      </c>
      <c r="AZ51" s="159">
        <v>0</v>
      </c>
      <c r="BA51" s="159">
        <v>0</v>
      </c>
      <c r="BB51" s="159">
        <v>0</v>
      </c>
      <c r="BC51" s="159">
        <f t="shared" si="7"/>
        <v>0</v>
      </c>
      <c r="BD51" s="159">
        <f t="shared" si="8"/>
        <v>0</v>
      </c>
      <c r="BE51" s="159">
        <f t="shared" si="9"/>
        <v>0</v>
      </c>
      <c r="BF51" s="159">
        <f t="shared" si="10"/>
        <v>0</v>
      </c>
      <c r="BG51" s="159">
        <f t="shared" si="11"/>
        <v>0</v>
      </c>
      <c r="BH51" s="66"/>
    </row>
    <row r="52" spans="1:60" s="65" customFormat="1" ht="173.25">
      <c r="A52" s="146" t="s">
        <v>899</v>
      </c>
      <c r="B52" s="144" t="s">
        <v>901</v>
      </c>
      <c r="C52" s="125" t="s">
        <v>876</v>
      </c>
      <c r="D52" s="163" t="s">
        <v>876</v>
      </c>
      <c r="E52" s="253">
        <f t="shared" si="2"/>
        <v>0</v>
      </c>
      <c r="F52" s="253">
        <f t="shared" si="3"/>
        <v>0</v>
      </c>
      <c r="G52" s="253">
        <f t="shared" si="4"/>
        <v>0</v>
      </c>
      <c r="H52" s="253">
        <f t="shared" si="5"/>
        <v>0</v>
      </c>
      <c r="I52" s="253">
        <f t="shared" si="6"/>
        <v>0</v>
      </c>
      <c r="J52" s="253">
        <v>0</v>
      </c>
      <c r="K52" s="253">
        <v>0</v>
      </c>
      <c r="L52" s="253">
        <v>0</v>
      </c>
      <c r="M52" s="253">
        <v>0</v>
      </c>
      <c r="N52" s="253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0</v>
      </c>
      <c r="AA52" s="159">
        <v>0</v>
      </c>
      <c r="AB52" s="159">
        <v>0</v>
      </c>
      <c r="AC52" s="159">
        <v>0</v>
      </c>
      <c r="AD52" s="159">
        <v>0</v>
      </c>
      <c r="AE52" s="159">
        <v>0</v>
      </c>
      <c r="AF52" s="159">
        <v>0</v>
      </c>
      <c r="AG52" s="159">
        <v>0</v>
      </c>
      <c r="AH52" s="159">
        <v>0</v>
      </c>
      <c r="AI52" s="159">
        <v>0</v>
      </c>
      <c r="AJ52" s="159">
        <v>0</v>
      </c>
      <c r="AK52" s="159">
        <v>0</v>
      </c>
      <c r="AL52" s="159">
        <v>0</v>
      </c>
      <c r="AM52" s="159">
        <v>0</v>
      </c>
      <c r="AN52" s="159">
        <v>0</v>
      </c>
      <c r="AO52" s="159">
        <v>0</v>
      </c>
      <c r="AP52" s="159">
        <v>0</v>
      </c>
      <c r="AQ52" s="159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159">
        <v>0</v>
      </c>
      <c r="AY52" s="159">
        <v>0</v>
      </c>
      <c r="AZ52" s="159">
        <v>0</v>
      </c>
      <c r="BA52" s="159">
        <v>0</v>
      </c>
      <c r="BB52" s="159">
        <v>0</v>
      </c>
      <c r="BC52" s="159">
        <f t="shared" si="7"/>
        <v>0</v>
      </c>
      <c r="BD52" s="159">
        <f t="shared" si="8"/>
        <v>0</v>
      </c>
      <c r="BE52" s="159">
        <f t="shared" si="9"/>
        <v>0</v>
      </c>
      <c r="BF52" s="159">
        <f t="shared" si="10"/>
        <v>0</v>
      </c>
      <c r="BG52" s="159">
        <f t="shared" si="11"/>
        <v>0</v>
      </c>
      <c r="BH52" s="66"/>
    </row>
    <row r="53" spans="1:60" s="65" customFormat="1" ht="157.5">
      <c r="A53" s="146" t="s">
        <v>899</v>
      </c>
      <c r="B53" s="144" t="s">
        <v>902</v>
      </c>
      <c r="C53" s="125" t="s">
        <v>876</v>
      </c>
      <c r="D53" s="163" t="s">
        <v>876</v>
      </c>
      <c r="E53" s="253">
        <f t="shared" si="2"/>
        <v>0</v>
      </c>
      <c r="F53" s="253">
        <f t="shared" si="3"/>
        <v>0</v>
      </c>
      <c r="G53" s="253">
        <f t="shared" si="4"/>
        <v>0</v>
      </c>
      <c r="H53" s="253">
        <f t="shared" si="5"/>
        <v>0</v>
      </c>
      <c r="I53" s="253">
        <f t="shared" si="6"/>
        <v>0</v>
      </c>
      <c r="J53" s="253">
        <v>0</v>
      </c>
      <c r="K53" s="253">
        <v>0</v>
      </c>
      <c r="L53" s="253">
        <v>0</v>
      </c>
      <c r="M53" s="253">
        <v>0</v>
      </c>
      <c r="N53" s="253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159">
        <v>0</v>
      </c>
      <c r="Y53" s="159">
        <v>0</v>
      </c>
      <c r="Z53" s="159">
        <v>0</v>
      </c>
      <c r="AA53" s="159">
        <v>0</v>
      </c>
      <c r="AB53" s="159">
        <v>0</v>
      </c>
      <c r="AC53" s="159">
        <v>0</v>
      </c>
      <c r="AD53" s="159">
        <v>0</v>
      </c>
      <c r="AE53" s="159">
        <v>0</v>
      </c>
      <c r="AF53" s="159">
        <v>0</v>
      </c>
      <c r="AG53" s="159">
        <v>0</v>
      </c>
      <c r="AH53" s="159">
        <v>0</v>
      </c>
      <c r="AI53" s="159">
        <v>0</v>
      </c>
      <c r="AJ53" s="159">
        <v>0</v>
      </c>
      <c r="AK53" s="159">
        <v>0</v>
      </c>
      <c r="AL53" s="159">
        <v>0</v>
      </c>
      <c r="AM53" s="159">
        <v>0</v>
      </c>
      <c r="AN53" s="159">
        <v>0</v>
      </c>
      <c r="AO53" s="159">
        <v>0</v>
      </c>
      <c r="AP53" s="159">
        <v>0</v>
      </c>
      <c r="AQ53" s="159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159">
        <v>0</v>
      </c>
      <c r="AY53" s="159">
        <v>0</v>
      </c>
      <c r="AZ53" s="159">
        <v>0</v>
      </c>
      <c r="BA53" s="159">
        <v>0</v>
      </c>
      <c r="BB53" s="159">
        <v>0</v>
      </c>
      <c r="BC53" s="159">
        <f t="shared" si="7"/>
        <v>0</v>
      </c>
      <c r="BD53" s="159">
        <f t="shared" si="8"/>
        <v>0</v>
      </c>
      <c r="BE53" s="159">
        <f t="shared" si="9"/>
        <v>0</v>
      </c>
      <c r="BF53" s="159">
        <f t="shared" si="10"/>
        <v>0</v>
      </c>
      <c r="BG53" s="159">
        <f t="shared" si="11"/>
        <v>0</v>
      </c>
      <c r="BH53" s="66"/>
    </row>
    <row r="54" spans="1:60" s="65" customFormat="1" ht="157.5">
      <c r="A54" s="146" t="s">
        <v>899</v>
      </c>
      <c r="B54" s="144" t="s">
        <v>903</v>
      </c>
      <c r="C54" s="125" t="s">
        <v>876</v>
      </c>
      <c r="D54" s="163" t="s">
        <v>876</v>
      </c>
      <c r="E54" s="253">
        <f t="shared" si="2"/>
        <v>0</v>
      </c>
      <c r="F54" s="253">
        <f t="shared" si="3"/>
        <v>0</v>
      </c>
      <c r="G54" s="253">
        <f t="shared" si="4"/>
        <v>0</v>
      </c>
      <c r="H54" s="253">
        <f t="shared" si="5"/>
        <v>0</v>
      </c>
      <c r="I54" s="253">
        <f t="shared" si="6"/>
        <v>0</v>
      </c>
      <c r="J54" s="253">
        <v>0</v>
      </c>
      <c r="K54" s="253">
        <v>0</v>
      </c>
      <c r="L54" s="253">
        <v>0</v>
      </c>
      <c r="M54" s="253">
        <v>0</v>
      </c>
      <c r="N54" s="253">
        <v>0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159">
        <v>0</v>
      </c>
      <c r="Y54" s="159">
        <v>0</v>
      </c>
      <c r="Z54" s="159">
        <v>0</v>
      </c>
      <c r="AA54" s="159">
        <v>0</v>
      </c>
      <c r="AB54" s="159">
        <v>0</v>
      </c>
      <c r="AC54" s="159">
        <v>0</v>
      </c>
      <c r="AD54" s="159">
        <v>0</v>
      </c>
      <c r="AE54" s="159">
        <v>0</v>
      </c>
      <c r="AF54" s="159">
        <v>0</v>
      </c>
      <c r="AG54" s="159">
        <v>0</v>
      </c>
      <c r="AH54" s="159">
        <v>0</v>
      </c>
      <c r="AI54" s="159">
        <v>0</v>
      </c>
      <c r="AJ54" s="159">
        <v>0</v>
      </c>
      <c r="AK54" s="159">
        <v>0</v>
      </c>
      <c r="AL54" s="159">
        <v>0</v>
      </c>
      <c r="AM54" s="159">
        <v>0</v>
      </c>
      <c r="AN54" s="159">
        <v>0</v>
      </c>
      <c r="AO54" s="159">
        <v>0</v>
      </c>
      <c r="AP54" s="159">
        <v>0</v>
      </c>
      <c r="AQ54" s="159">
        <v>0</v>
      </c>
      <c r="AR54" s="159">
        <v>0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159">
        <v>0</v>
      </c>
      <c r="AY54" s="159">
        <v>0</v>
      </c>
      <c r="AZ54" s="159">
        <v>0</v>
      </c>
      <c r="BA54" s="159">
        <v>0</v>
      </c>
      <c r="BB54" s="159">
        <v>0</v>
      </c>
      <c r="BC54" s="159">
        <f t="shared" si="7"/>
        <v>0</v>
      </c>
      <c r="BD54" s="159">
        <f t="shared" si="8"/>
        <v>0</v>
      </c>
      <c r="BE54" s="159">
        <f t="shared" si="9"/>
        <v>0</v>
      </c>
      <c r="BF54" s="159">
        <f t="shared" si="10"/>
        <v>0</v>
      </c>
      <c r="BG54" s="159">
        <f t="shared" si="11"/>
        <v>0</v>
      </c>
      <c r="BH54" s="66"/>
    </row>
    <row r="55" spans="1:60" s="65" customFormat="1" ht="63">
      <c r="A55" s="146" t="s">
        <v>904</v>
      </c>
      <c r="B55" s="144" t="s">
        <v>900</v>
      </c>
      <c r="C55" s="125" t="s">
        <v>876</v>
      </c>
      <c r="D55" s="163" t="s">
        <v>876</v>
      </c>
      <c r="E55" s="253">
        <f t="shared" si="2"/>
        <v>0</v>
      </c>
      <c r="F55" s="253">
        <f t="shared" si="3"/>
        <v>0</v>
      </c>
      <c r="G55" s="253">
        <f t="shared" si="4"/>
        <v>0</v>
      </c>
      <c r="H55" s="253">
        <f t="shared" si="5"/>
        <v>0</v>
      </c>
      <c r="I55" s="253">
        <f t="shared" si="6"/>
        <v>0</v>
      </c>
      <c r="J55" s="253">
        <v>0</v>
      </c>
      <c r="K55" s="253">
        <v>0</v>
      </c>
      <c r="L55" s="253">
        <v>0</v>
      </c>
      <c r="M55" s="253">
        <v>0</v>
      </c>
      <c r="N55" s="253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159">
        <v>0</v>
      </c>
      <c r="Y55" s="159">
        <v>0</v>
      </c>
      <c r="Z55" s="159">
        <v>0</v>
      </c>
      <c r="AA55" s="159">
        <v>0</v>
      </c>
      <c r="AB55" s="159">
        <v>0</v>
      </c>
      <c r="AC55" s="159">
        <v>0</v>
      </c>
      <c r="AD55" s="159">
        <v>0</v>
      </c>
      <c r="AE55" s="159">
        <v>0</v>
      </c>
      <c r="AF55" s="159">
        <v>0</v>
      </c>
      <c r="AG55" s="159">
        <v>0</v>
      </c>
      <c r="AH55" s="159">
        <v>0</v>
      </c>
      <c r="AI55" s="159">
        <v>0</v>
      </c>
      <c r="AJ55" s="159">
        <v>0</v>
      </c>
      <c r="AK55" s="159">
        <v>0</v>
      </c>
      <c r="AL55" s="159">
        <v>0</v>
      </c>
      <c r="AM55" s="159">
        <v>0</v>
      </c>
      <c r="AN55" s="159">
        <v>0</v>
      </c>
      <c r="AO55" s="159">
        <v>0</v>
      </c>
      <c r="AP55" s="159">
        <v>0</v>
      </c>
      <c r="AQ55" s="159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159">
        <v>0</v>
      </c>
      <c r="AY55" s="159">
        <v>0</v>
      </c>
      <c r="AZ55" s="159">
        <v>0</v>
      </c>
      <c r="BA55" s="159">
        <v>0</v>
      </c>
      <c r="BB55" s="159">
        <v>0</v>
      </c>
      <c r="BC55" s="159">
        <f t="shared" si="7"/>
        <v>0</v>
      </c>
      <c r="BD55" s="159">
        <f t="shared" si="8"/>
        <v>0</v>
      </c>
      <c r="BE55" s="159">
        <f t="shared" si="9"/>
        <v>0</v>
      </c>
      <c r="BF55" s="159">
        <f t="shared" si="10"/>
        <v>0</v>
      </c>
      <c r="BG55" s="159">
        <f t="shared" si="11"/>
        <v>0</v>
      </c>
      <c r="BH55" s="66"/>
    </row>
    <row r="56" spans="1:60" s="65" customFormat="1" ht="173.25">
      <c r="A56" s="146" t="s">
        <v>904</v>
      </c>
      <c r="B56" s="144" t="s">
        <v>901</v>
      </c>
      <c r="C56" s="125" t="s">
        <v>876</v>
      </c>
      <c r="D56" s="163" t="s">
        <v>876</v>
      </c>
      <c r="E56" s="253">
        <f t="shared" si="2"/>
        <v>0</v>
      </c>
      <c r="F56" s="253">
        <f t="shared" si="3"/>
        <v>0</v>
      </c>
      <c r="G56" s="253">
        <f t="shared" si="4"/>
        <v>0</v>
      </c>
      <c r="H56" s="253">
        <f t="shared" si="5"/>
        <v>0</v>
      </c>
      <c r="I56" s="253">
        <f t="shared" si="6"/>
        <v>0</v>
      </c>
      <c r="J56" s="253">
        <v>0</v>
      </c>
      <c r="K56" s="253">
        <v>0</v>
      </c>
      <c r="L56" s="253">
        <v>0</v>
      </c>
      <c r="M56" s="253">
        <v>0</v>
      </c>
      <c r="N56" s="253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159">
        <v>0</v>
      </c>
      <c r="Y56" s="159">
        <v>0</v>
      </c>
      <c r="Z56" s="159">
        <v>0</v>
      </c>
      <c r="AA56" s="159">
        <v>0</v>
      </c>
      <c r="AB56" s="159">
        <v>0</v>
      </c>
      <c r="AC56" s="159">
        <v>0</v>
      </c>
      <c r="AD56" s="159">
        <v>0</v>
      </c>
      <c r="AE56" s="159">
        <v>0</v>
      </c>
      <c r="AF56" s="159">
        <v>0</v>
      </c>
      <c r="AG56" s="159">
        <v>0</v>
      </c>
      <c r="AH56" s="159">
        <v>0</v>
      </c>
      <c r="AI56" s="159">
        <v>0</v>
      </c>
      <c r="AJ56" s="159">
        <v>0</v>
      </c>
      <c r="AK56" s="159">
        <v>0</v>
      </c>
      <c r="AL56" s="159">
        <v>0</v>
      </c>
      <c r="AM56" s="159">
        <v>0</v>
      </c>
      <c r="AN56" s="159">
        <v>0</v>
      </c>
      <c r="AO56" s="159">
        <v>0</v>
      </c>
      <c r="AP56" s="159">
        <v>0</v>
      </c>
      <c r="AQ56" s="159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159">
        <v>0</v>
      </c>
      <c r="AY56" s="159">
        <v>0</v>
      </c>
      <c r="AZ56" s="159">
        <v>0</v>
      </c>
      <c r="BA56" s="159">
        <v>0</v>
      </c>
      <c r="BB56" s="159">
        <v>0</v>
      </c>
      <c r="BC56" s="159">
        <f t="shared" si="7"/>
        <v>0</v>
      </c>
      <c r="BD56" s="159">
        <f t="shared" si="8"/>
        <v>0</v>
      </c>
      <c r="BE56" s="159">
        <f t="shared" si="9"/>
        <v>0</v>
      </c>
      <c r="BF56" s="159">
        <f t="shared" si="10"/>
        <v>0</v>
      </c>
      <c r="BG56" s="159">
        <f t="shared" si="11"/>
        <v>0</v>
      </c>
      <c r="BH56" s="66"/>
    </row>
    <row r="57" spans="1:60" s="65" customFormat="1" ht="157.5">
      <c r="A57" s="146" t="s">
        <v>904</v>
      </c>
      <c r="B57" s="144" t="s">
        <v>902</v>
      </c>
      <c r="C57" s="125" t="s">
        <v>876</v>
      </c>
      <c r="D57" s="163" t="s">
        <v>876</v>
      </c>
      <c r="E57" s="253">
        <f t="shared" si="2"/>
        <v>0</v>
      </c>
      <c r="F57" s="253">
        <f t="shared" si="3"/>
        <v>0</v>
      </c>
      <c r="G57" s="253">
        <f t="shared" si="4"/>
        <v>0</v>
      </c>
      <c r="H57" s="253">
        <f t="shared" si="5"/>
        <v>0</v>
      </c>
      <c r="I57" s="253">
        <f t="shared" si="6"/>
        <v>0</v>
      </c>
      <c r="J57" s="253">
        <v>0</v>
      </c>
      <c r="K57" s="253">
        <v>0</v>
      </c>
      <c r="L57" s="253">
        <v>0</v>
      </c>
      <c r="M57" s="253">
        <v>0</v>
      </c>
      <c r="N57" s="253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159">
        <v>0</v>
      </c>
      <c r="Y57" s="159">
        <v>0</v>
      </c>
      <c r="Z57" s="159">
        <v>0</v>
      </c>
      <c r="AA57" s="159">
        <v>0</v>
      </c>
      <c r="AB57" s="159">
        <v>0</v>
      </c>
      <c r="AC57" s="159">
        <v>0</v>
      </c>
      <c r="AD57" s="159">
        <v>0</v>
      </c>
      <c r="AE57" s="159">
        <v>0</v>
      </c>
      <c r="AF57" s="159">
        <v>0</v>
      </c>
      <c r="AG57" s="159">
        <v>0</v>
      </c>
      <c r="AH57" s="159">
        <v>0</v>
      </c>
      <c r="AI57" s="159">
        <v>0</v>
      </c>
      <c r="AJ57" s="159">
        <v>0</v>
      </c>
      <c r="AK57" s="159">
        <v>0</v>
      </c>
      <c r="AL57" s="159">
        <v>0</v>
      </c>
      <c r="AM57" s="159">
        <v>0</v>
      </c>
      <c r="AN57" s="159">
        <v>0</v>
      </c>
      <c r="AO57" s="159">
        <v>0</v>
      </c>
      <c r="AP57" s="159">
        <v>0</v>
      </c>
      <c r="AQ57" s="159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159">
        <v>0</v>
      </c>
      <c r="AY57" s="159">
        <v>0</v>
      </c>
      <c r="AZ57" s="159">
        <v>0</v>
      </c>
      <c r="BA57" s="159">
        <v>0</v>
      </c>
      <c r="BB57" s="159">
        <v>0</v>
      </c>
      <c r="BC57" s="159">
        <f t="shared" si="7"/>
        <v>0</v>
      </c>
      <c r="BD57" s="159">
        <f t="shared" si="8"/>
        <v>0</v>
      </c>
      <c r="BE57" s="159">
        <f t="shared" si="9"/>
        <v>0</v>
      </c>
      <c r="BF57" s="159">
        <f t="shared" si="10"/>
        <v>0</v>
      </c>
      <c r="BG57" s="159">
        <f t="shared" si="11"/>
        <v>0</v>
      </c>
      <c r="BH57" s="66"/>
    </row>
    <row r="58" spans="1:60" s="65" customFormat="1" ht="157.5">
      <c r="A58" s="146" t="s">
        <v>904</v>
      </c>
      <c r="B58" s="144" t="s">
        <v>903</v>
      </c>
      <c r="C58" s="125" t="s">
        <v>876</v>
      </c>
      <c r="D58" s="163" t="s">
        <v>876</v>
      </c>
      <c r="E58" s="253">
        <f t="shared" si="2"/>
        <v>0</v>
      </c>
      <c r="F58" s="253">
        <f t="shared" si="3"/>
        <v>0</v>
      </c>
      <c r="G58" s="253">
        <f t="shared" si="4"/>
        <v>0</v>
      </c>
      <c r="H58" s="253">
        <f t="shared" si="5"/>
        <v>0</v>
      </c>
      <c r="I58" s="253">
        <f t="shared" si="6"/>
        <v>0</v>
      </c>
      <c r="J58" s="253">
        <v>0</v>
      </c>
      <c r="K58" s="253">
        <v>0</v>
      </c>
      <c r="L58" s="253">
        <v>0</v>
      </c>
      <c r="M58" s="253">
        <v>0</v>
      </c>
      <c r="N58" s="253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0</v>
      </c>
      <c r="AC58" s="159">
        <v>0</v>
      </c>
      <c r="AD58" s="159">
        <v>0</v>
      </c>
      <c r="AE58" s="159">
        <v>0</v>
      </c>
      <c r="AF58" s="159">
        <v>0</v>
      </c>
      <c r="AG58" s="159">
        <v>0</v>
      </c>
      <c r="AH58" s="159">
        <v>0</v>
      </c>
      <c r="AI58" s="159">
        <v>0</v>
      </c>
      <c r="AJ58" s="159">
        <v>0</v>
      </c>
      <c r="AK58" s="159">
        <v>0</v>
      </c>
      <c r="AL58" s="159">
        <v>0</v>
      </c>
      <c r="AM58" s="159">
        <v>0</v>
      </c>
      <c r="AN58" s="159">
        <v>0</v>
      </c>
      <c r="AO58" s="159">
        <v>0</v>
      </c>
      <c r="AP58" s="159">
        <v>0</v>
      </c>
      <c r="AQ58" s="159">
        <v>0</v>
      </c>
      <c r="AR58" s="159">
        <v>0</v>
      </c>
      <c r="AS58" s="159">
        <v>0</v>
      </c>
      <c r="AT58" s="159">
        <v>0</v>
      </c>
      <c r="AU58" s="159">
        <v>0</v>
      </c>
      <c r="AV58" s="159">
        <v>0</v>
      </c>
      <c r="AW58" s="159">
        <v>0</v>
      </c>
      <c r="AX58" s="159">
        <v>0</v>
      </c>
      <c r="AY58" s="159">
        <v>0</v>
      </c>
      <c r="AZ58" s="159">
        <v>0</v>
      </c>
      <c r="BA58" s="159">
        <v>0</v>
      </c>
      <c r="BB58" s="159">
        <v>0</v>
      </c>
      <c r="BC58" s="159">
        <f t="shared" si="7"/>
        <v>0</v>
      </c>
      <c r="BD58" s="159">
        <f t="shared" si="8"/>
        <v>0</v>
      </c>
      <c r="BE58" s="159">
        <f t="shared" si="9"/>
        <v>0</v>
      </c>
      <c r="BF58" s="159">
        <f t="shared" si="10"/>
        <v>0</v>
      </c>
      <c r="BG58" s="159">
        <f t="shared" si="11"/>
        <v>0</v>
      </c>
      <c r="BH58" s="66"/>
    </row>
    <row r="59" spans="1:60" s="65" customFormat="1" ht="141.75">
      <c r="A59" s="118" t="s">
        <v>905</v>
      </c>
      <c r="B59" s="144" t="s">
        <v>906</v>
      </c>
      <c r="C59" s="125" t="s">
        <v>876</v>
      </c>
      <c r="D59" s="163" t="s">
        <v>876</v>
      </c>
      <c r="E59" s="253">
        <f t="shared" si="2"/>
        <v>0</v>
      </c>
      <c r="F59" s="253">
        <f t="shared" si="3"/>
        <v>0</v>
      </c>
      <c r="G59" s="253">
        <f t="shared" si="4"/>
        <v>0</v>
      </c>
      <c r="H59" s="253">
        <f t="shared" si="5"/>
        <v>0</v>
      </c>
      <c r="I59" s="253">
        <f t="shared" si="6"/>
        <v>0</v>
      </c>
      <c r="J59" s="253">
        <v>0</v>
      </c>
      <c r="K59" s="253">
        <v>0</v>
      </c>
      <c r="L59" s="253">
        <v>0</v>
      </c>
      <c r="M59" s="253">
        <v>0</v>
      </c>
      <c r="N59" s="253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159">
        <v>0</v>
      </c>
      <c r="Y59" s="159">
        <v>0</v>
      </c>
      <c r="Z59" s="159">
        <v>0</v>
      </c>
      <c r="AA59" s="159">
        <v>0</v>
      </c>
      <c r="AB59" s="159">
        <v>0</v>
      </c>
      <c r="AC59" s="159">
        <v>0</v>
      </c>
      <c r="AD59" s="159">
        <v>0</v>
      </c>
      <c r="AE59" s="159">
        <v>0</v>
      </c>
      <c r="AF59" s="159">
        <v>0</v>
      </c>
      <c r="AG59" s="159">
        <v>0</v>
      </c>
      <c r="AH59" s="159">
        <v>0</v>
      </c>
      <c r="AI59" s="159">
        <v>0</v>
      </c>
      <c r="AJ59" s="159">
        <v>0</v>
      </c>
      <c r="AK59" s="159">
        <v>0</v>
      </c>
      <c r="AL59" s="159">
        <v>0</v>
      </c>
      <c r="AM59" s="159">
        <v>0</v>
      </c>
      <c r="AN59" s="159">
        <v>0</v>
      </c>
      <c r="AO59" s="159">
        <v>0</v>
      </c>
      <c r="AP59" s="159">
        <v>0</v>
      </c>
      <c r="AQ59" s="159">
        <v>0</v>
      </c>
      <c r="AR59" s="159">
        <v>0</v>
      </c>
      <c r="AS59" s="159">
        <v>0</v>
      </c>
      <c r="AT59" s="159">
        <v>0</v>
      </c>
      <c r="AU59" s="159">
        <v>0</v>
      </c>
      <c r="AV59" s="159">
        <v>0</v>
      </c>
      <c r="AW59" s="159">
        <v>0</v>
      </c>
      <c r="AX59" s="159">
        <v>0</v>
      </c>
      <c r="AY59" s="159">
        <v>0</v>
      </c>
      <c r="AZ59" s="159">
        <v>0</v>
      </c>
      <c r="BA59" s="159">
        <v>0</v>
      </c>
      <c r="BB59" s="159">
        <v>0</v>
      </c>
      <c r="BC59" s="159">
        <f t="shared" si="7"/>
        <v>0</v>
      </c>
      <c r="BD59" s="159">
        <f t="shared" si="8"/>
        <v>0</v>
      </c>
      <c r="BE59" s="159">
        <f t="shared" si="9"/>
        <v>0</v>
      </c>
      <c r="BF59" s="159">
        <f t="shared" si="10"/>
        <v>0</v>
      </c>
      <c r="BG59" s="159">
        <f t="shared" si="11"/>
        <v>0</v>
      </c>
      <c r="BH59" s="66"/>
    </row>
    <row r="60" spans="1:60" s="65" customFormat="1" ht="157.5">
      <c r="A60" s="146" t="s">
        <v>907</v>
      </c>
      <c r="B60" s="144" t="s">
        <v>902</v>
      </c>
      <c r="C60" s="125" t="s">
        <v>876</v>
      </c>
      <c r="D60" s="163" t="s">
        <v>876</v>
      </c>
      <c r="E60" s="253">
        <f t="shared" si="2"/>
        <v>0</v>
      </c>
      <c r="F60" s="253">
        <f t="shared" si="3"/>
        <v>0</v>
      </c>
      <c r="G60" s="253">
        <f t="shared" si="4"/>
        <v>0</v>
      </c>
      <c r="H60" s="253">
        <f t="shared" si="5"/>
        <v>0</v>
      </c>
      <c r="I60" s="253">
        <f t="shared" si="6"/>
        <v>0</v>
      </c>
      <c r="J60" s="253">
        <v>0</v>
      </c>
      <c r="K60" s="253">
        <v>0</v>
      </c>
      <c r="L60" s="253">
        <v>0</v>
      </c>
      <c r="M60" s="253">
        <v>0</v>
      </c>
      <c r="N60" s="253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59">
        <v>0</v>
      </c>
      <c r="V60" s="159">
        <v>0</v>
      </c>
      <c r="W60" s="159">
        <v>0</v>
      </c>
      <c r="X60" s="159">
        <v>0</v>
      </c>
      <c r="Y60" s="159">
        <v>0</v>
      </c>
      <c r="Z60" s="159">
        <v>0</v>
      </c>
      <c r="AA60" s="159">
        <v>0</v>
      </c>
      <c r="AB60" s="159">
        <v>0</v>
      </c>
      <c r="AC60" s="159">
        <v>0</v>
      </c>
      <c r="AD60" s="159">
        <v>0</v>
      </c>
      <c r="AE60" s="159">
        <v>0</v>
      </c>
      <c r="AF60" s="159">
        <v>0</v>
      </c>
      <c r="AG60" s="159">
        <v>0</v>
      </c>
      <c r="AH60" s="159">
        <v>0</v>
      </c>
      <c r="AI60" s="159">
        <v>0</v>
      </c>
      <c r="AJ60" s="159">
        <v>0</v>
      </c>
      <c r="AK60" s="159">
        <v>0</v>
      </c>
      <c r="AL60" s="159">
        <v>0</v>
      </c>
      <c r="AM60" s="159">
        <v>0</v>
      </c>
      <c r="AN60" s="159">
        <v>0</v>
      </c>
      <c r="AO60" s="159">
        <v>0</v>
      </c>
      <c r="AP60" s="159">
        <v>0</v>
      </c>
      <c r="AQ60" s="159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159">
        <v>0</v>
      </c>
      <c r="AY60" s="159">
        <v>0</v>
      </c>
      <c r="AZ60" s="159">
        <v>0</v>
      </c>
      <c r="BA60" s="159">
        <v>0</v>
      </c>
      <c r="BB60" s="159">
        <v>0</v>
      </c>
      <c r="BC60" s="159">
        <f t="shared" si="7"/>
        <v>0</v>
      </c>
      <c r="BD60" s="159">
        <f t="shared" si="8"/>
        <v>0</v>
      </c>
      <c r="BE60" s="159">
        <f t="shared" si="9"/>
        <v>0</v>
      </c>
      <c r="BF60" s="159">
        <f t="shared" si="10"/>
        <v>0</v>
      </c>
      <c r="BG60" s="159">
        <f t="shared" si="11"/>
        <v>0</v>
      </c>
      <c r="BH60" s="66"/>
    </row>
    <row r="61" spans="1:60" s="65" customFormat="1" ht="126">
      <c r="A61" s="146" t="s">
        <v>908</v>
      </c>
      <c r="B61" s="144" t="s">
        <v>909</v>
      </c>
      <c r="C61" s="125" t="s">
        <v>876</v>
      </c>
      <c r="D61" s="163" t="s">
        <v>876</v>
      </c>
      <c r="E61" s="253">
        <f t="shared" si="2"/>
        <v>0</v>
      </c>
      <c r="F61" s="253">
        <f t="shared" si="3"/>
        <v>0</v>
      </c>
      <c r="G61" s="253">
        <f t="shared" si="4"/>
        <v>0</v>
      </c>
      <c r="H61" s="253">
        <f t="shared" si="5"/>
        <v>0</v>
      </c>
      <c r="I61" s="253">
        <f t="shared" si="6"/>
        <v>0</v>
      </c>
      <c r="J61" s="253">
        <v>0</v>
      </c>
      <c r="K61" s="253">
        <v>0</v>
      </c>
      <c r="L61" s="253">
        <v>0</v>
      </c>
      <c r="M61" s="253">
        <v>0</v>
      </c>
      <c r="N61" s="253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59">
        <v>0</v>
      </c>
      <c r="W61" s="159">
        <v>0</v>
      </c>
      <c r="X61" s="159">
        <v>0</v>
      </c>
      <c r="Y61" s="159">
        <v>0</v>
      </c>
      <c r="Z61" s="159">
        <v>0</v>
      </c>
      <c r="AA61" s="159">
        <v>0</v>
      </c>
      <c r="AB61" s="159">
        <v>0</v>
      </c>
      <c r="AC61" s="159">
        <v>0</v>
      </c>
      <c r="AD61" s="159">
        <v>0</v>
      </c>
      <c r="AE61" s="159">
        <v>0</v>
      </c>
      <c r="AF61" s="159">
        <v>0</v>
      </c>
      <c r="AG61" s="159">
        <v>0</v>
      </c>
      <c r="AH61" s="159">
        <v>0</v>
      </c>
      <c r="AI61" s="159">
        <v>0</v>
      </c>
      <c r="AJ61" s="159">
        <v>0</v>
      </c>
      <c r="AK61" s="159">
        <v>0</v>
      </c>
      <c r="AL61" s="159">
        <v>0</v>
      </c>
      <c r="AM61" s="159">
        <v>0</v>
      </c>
      <c r="AN61" s="159">
        <v>0</v>
      </c>
      <c r="AO61" s="159">
        <v>0</v>
      </c>
      <c r="AP61" s="159">
        <v>0</v>
      </c>
      <c r="AQ61" s="159">
        <v>0</v>
      </c>
      <c r="AR61" s="159">
        <v>0</v>
      </c>
      <c r="AS61" s="159">
        <v>0</v>
      </c>
      <c r="AT61" s="159">
        <v>0</v>
      </c>
      <c r="AU61" s="159">
        <v>0</v>
      </c>
      <c r="AV61" s="159">
        <v>0</v>
      </c>
      <c r="AW61" s="159">
        <v>0</v>
      </c>
      <c r="AX61" s="159">
        <v>0</v>
      </c>
      <c r="AY61" s="159">
        <v>0</v>
      </c>
      <c r="AZ61" s="159">
        <v>0</v>
      </c>
      <c r="BA61" s="159">
        <v>0</v>
      </c>
      <c r="BB61" s="159">
        <v>0</v>
      </c>
      <c r="BC61" s="159">
        <f t="shared" si="7"/>
        <v>0</v>
      </c>
      <c r="BD61" s="159">
        <f t="shared" si="8"/>
        <v>0</v>
      </c>
      <c r="BE61" s="159">
        <f t="shared" si="9"/>
        <v>0</v>
      </c>
      <c r="BF61" s="159">
        <f t="shared" si="10"/>
        <v>0</v>
      </c>
      <c r="BG61" s="159">
        <f t="shared" si="11"/>
        <v>0</v>
      </c>
      <c r="BH61" s="66"/>
    </row>
    <row r="62" spans="1:60" s="65" customFormat="1" ht="63">
      <c r="A62" s="118" t="s">
        <v>910</v>
      </c>
      <c r="B62" s="144" t="s">
        <v>911</v>
      </c>
      <c r="C62" s="125" t="s">
        <v>876</v>
      </c>
      <c r="D62" s="163" t="s">
        <v>876</v>
      </c>
      <c r="E62" s="253">
        <f>E68</f>
        <v>0</v>
      </c>
      <c r="F62" s="253">
        <f t="shared" ref="F62:BB62" si="13">F68</f>
        <v>0</v>
      </c>
      <c r="G62" s="253">
        <f t="shared" si="13"/>
        <v>2.7749999999999999</v>
      </c>
      <c r="H62" s="253">
        <f t="shared" si="13"/>
        <v>0</v>
      </c>
      <c r="I62" s="253">
        <f t="shared" si="13"/>
        <v>0</v>
      </c>
      <c r="J62" s="253">
        <f t="shared" si="13"/>
        <v>0</v>
      </c>
      <c r="K62" s="253">
        <f t="shared" si="13"/>
        <v>0</v>
      </c>
      <c r="L62" s="253">
        <f t="shared" si="13"/>
        <v>0</v>
      </c>
      <c r="M62" s="253">
        <f t="shared" si="13"/>
        <v>0</v>
      </c>
      <c r="N62" s="253">
        <f t="shared" si="13"/>
        <v>0</v>
      </c>
      <c r="O62" s="159">
        <f t="shared" si="13"/>
        <v>0</v>
      </c>
      <c r="P62" s="159">
        <f t="shared" si="13"/>
        <v>0</v>
      </c>
      <c r="Q62" s="159">
        <f t="shared" si="13"/>
        <v>0</v>
      </c>
      <c r="R62" s="159">
        <f t="shared" si="13"/>
        <v>0</v>
      </c>
      <c r="S62" s="159">
        <f t="shared" si="13"/>
        <v>0</v>
      </c>
      <c r="T62" s="159">
        <f t="shared" si="13"/>
        <v>0</v>
      </c>
      <c r="U62" s="159">
        <f t="shared" si="13"/>
        <v>0</v>
      </c>
      <c r="V62" s="159">
        <f t="shared" si="13"/>
        <v>0</v>
      </c>
      <c r="W62" s="159">
        <f t="shared" si="13"/>
        <v>0</v>
      </c>
      <c r="X62" s="159">
        <f t="shared" si="13"/>
        <v>0</v>
      </c>
      <c r="Y62" s="159">
        <f t="shared" si="13"/>
        <v>0</v>
      </c>
      <c r="Z62" s="159">
        <f t="shared" si="13"/>
        <v>0</v>
      </c>
      <c r="AA62" s="159">
        <f t="shared" si="13"/>
        <v>2.7749999999999999</v>
      </c>
      <c r="AB62" s="159">
        <f t="shared" si="13"/>
        <v>0</v>
      </c>
      <c r="AC62" s="159">
        <f t="shared" si="13"/>
        <v>0</v>
      </c>
      <c r="AD62" s="159">
        <f t="shared" si="13"/>
        <v>0</v>
      </c>
      <c r="AE62" s="159">
        <f t="shared" si="13"/>
        <v>0</v>
      </c>
      <c r="AF62" s="159">
        <f t="shared" si="13"/>
        <v>0</v>
      </c>
      <c r="AG62" s="159">
        <f t="shared" si="13"/>
        <v>0</v>
      </c>
      <c r="AH62" s="159">
        <f t="shared" si="13"/>
        <v>0</v>
      </c>
      <c r="AI62" s="159">
        <f t="shared" si="13"/>
        <v>0</v>
      </c>
      <c r="AJ62" s="159">
        <f t="shared" si="13"/>
        <v>0</v>
      </c>
      <c r="AK62" s="159">
        <f t="shared" si="13"/>
        <v>0</v>
      </c>
      <c r="AL62" s="159">
        <f t="shared" si="13"/>
        <v>0</v>
      </c>
      <c r="AM62" s="159">
        <f t="shared" si="13"/>
        <v>0</v>
      </c>
      <c r="AN62" s="159">
        <f t="shared" si="13"/>
        <v>0</v>
      </c>
      <c r="AO62" s="159">
        <f t="shared" si="13"/>
        <v>0</v>
      </c>
      <c r="AP62" s="159">
        <f t="shared" si="13"/>
        <v>0</v>
      </c>
      <c r="AQ62" s="159">
        <f t="shared" si="13"/>
        <v>0</v>
      </c>
      <c r="AR62" s="159">
        <f t="shared" si="13"/>
        <v>0</v>
      </c>
      <c r="AS62" s="159">
        <f t="shared" si="13"/>
        <v>0</v>
      </c>
      <c r="AT62" s="159">
        <f t="shared" si="13"/>
        <v>0</v>
      </c>
      <c r="AU62" s="159">
        <f t="shared" si="13"/>
        <v>0</v>
      </c>
      <c r="AV62" s="159">
        <f t="shared" si="13"/>
        <v>0</v>
      </c>
      <c r="AW62" s="159">
        <f t="shared" si="13"/>
        <v>0</v>
      </c>
      <c r="AX62" s="159">
        <f t="shared" si="13"/>
        <v>0</v>
      </c>
      <c r="AY62" s="159">
        <f t="shared" si="13"/>
        <v>0</v>
      </c>
      <c r="AZ62" s="159">
        <f t="shared" si="13"/>
        <v>0</v>
      </c>
      <c r="BA62" s="159">
        <f t="shared" si="13"/>
        <v>0</v>
      </c>
      <c r="BB62" s="159">
        <f t="shared" si="13"/>
        <v>0</v>
      </c>
      <c r="BC62" s="159">
        <f t="shared" si="7"/>
        <v>0</v>
      </c>
      <c r="BD62" s="159">
        <f t="shared" si="8"/>
        <v>0</v>
      </c>
      <c r="BE62" s="159">
        <f t="shared" si="9"/>
        <v>2.7749999999999999</v>
      </c>
      <c r="BF62" s="159">
        <f t="shared" si="10"/>
        <v>0</v>
      </c>
      <c r="BG62" s="159">
        <f t="shared" si="11"/>
        <v>0</v>
      </c>
      <c r="BH62" s="66"/>
    </row>
    <row r="63" spans="1:60" s="65" customFormat="1" ht="110.25">
      <c r="A63" s="118" t="s">
        <v>840</v>
      </c>
      <c r="B63" s="144" t="s">
        <v>912</v>
      </c>
      <c r="C63" s="125" t="s">
        <v>876</v>
      </c>
      <c r="D63" s="163" t="s">
        <v>876</v>
      </c>
      <c r="E63" s="253">
        <f t="shared" si="2"/>
        <v>0</v>
      </c>
      <c r="F63" s="253">
        <f t="shared" si="3"/>
        <v>0</v>
      </c>
      <c r="G63" s="253">
        <f t="shared" si="4"/>
        <v>0</v>
      </c>
      <c r="H63" s="253">
        <f t="shared" si="5"/>
        <v>0</v>
      </c>
      <c r="I63" s="253">
        <f t="shared" si="6"/>
        <v>0</v>
      </c>
      <c r="J63" s="253">
        <v>0</v>
      </c>
      <c r="K63" s="253">
        <v>0</v>
      </c>
      <c r="L63" s="253">
        <v>0</v>
      </c>
      <c r="M63" s="253">
        <v>0</v>
      </c>
      <c r="N63" s="253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59">
        <v>0</v>
      </c>
      <c r="V63" s="159">
        <v>0</v>
      </c>
      <c r="W63" s="159">
        <v>0</v>
      </c>
      <c r="X63" s="159">
        <v>0</v>
      </c>
      <c r="Y63" s="159">
        <v>0</v>
      </c>
      <c r="Z63" s="159">
        <v>0</v>
      </c>
      <c r="AA63" s="159">
        <v>0</v>
      </c>
      <c r="AB63" s="159">
        <v>0</v>
      </c>
      <c r="AC63" s="159">
        <v>0</v>
      </c>
      <c r="AD63" s="159">
        <v>0</v>
      </c>
      <c r="AE63" s="159">
        <v>0</v>
      </c>
      <c r="AF63" s="159">
        <v>0</v>
      </c>
      <c r="AG63" s="159">
        <v>0</v>
      </c>
      <c r="AH63" s="159">
        <v>0</v>
      </c>
      <c r="AI63" s="159">
        <v>0</v>
      </c>
      <c r="AJ63" s="159">
        <v>0</v>
      </c>
      <c r="AK63" s="159">
        <v>0</v>
      </c>
      <c r="AL63" s="159">
        <v>0</v>
      </c>
      <c r="AM63" s="159">
        <v>0</v>
      </c>
      <c r="AN63" s="159">
        <v>0</v>
      </c>
      <c r="AO63" s="159">
        <v>0</v>
      </c>
      <c r="AP63" s="159">
        <v>0</v>
      </c>
      <c r="AQ63" s="159">
        <v>0</v>
      </c>
      <c r="AR63" s="159">
        <v>0</v>
      </c>
      <c r="AS63" s="159">
        <v>0</v>
      </c>
      <c r="AT63" s="159">
        <v>0</v>
      </c>
      <c r="AU63" s="159">
        <v>0</v>
      </c>
      <c r="AV63" s="159">
        <v>0</v>
      </c>
      <c r="AW63" s="159">
        <v>0</v>
      </c>
      <c r="AX63" s="159">
        <v>0</v>
      </c>
      <c r="AY63" s="159">
        <v>0</v>
      </c>
      <c r="AZ63" s="159">
        <v>0</v>
      </c>
      <c r="BA63" s="159">
        <v>0</v>
      </c>
      <c r="BB63" s="159">
        <v>0</v>
      </c>
      <c r="BC63" s="159">
        <f t="shared" si="7"/>
        <v>0</v>
      </c>
      <c r="BD63" s="159">
        <f t="shared" si="8"/>
        <v>0</v>
      </c>
      <c r="BE63" s="159">
        <f t="shared" si="9"/>
        <v>0</v>
      </c>
      <c r="BF63" s="159">
        <f t="shared" si="10"/>
        <v>0</v>
      </c>
      <c r="BG63" s="159">
        <f t="shared" si="11"/>
        <v>0</v>
      </c>
      <c r="BH63" s="66"/>
    </row>
    <row r="64" spans="1:60" s="65" customFormat="1" ht="63">
      <c r="A64" s="118" t="s">
        <v>421</v>
      </c>
      <c r="B64" s="144" t="s">
        <v>913</v>
      </c>
      <c r="C64" s="138" t="s">
        <v>876</v>
      </c>
      <c r="D64" s="163" t="s">
        <v>876</v>
      </c>
      <c r="E64" s="253">
        <f t="shared" si="2"/>
        <v>0</v>
      </c>
      <c r="F64" s="253">
        <f t="shared" si="3"/>
        <v>0</v>
      </c>
      <c r="G64" s="253">
        <f t="shared" si="4"/>
        <v>0</v>
      </c>
      <c r="H64" s="253">
        <f t="shared" si="5"/>
        <v>0</v>
      </c>
      <c r="I64" s="253">
        <f t="shared" si="6"/>
        <v>0</v>
      </c>
      <c r="J64" s="253">
        <v>0</v>
      </c>
      <c r="K64" s="253">
        <v>0</v>
      </c>
      <c r="L64" s="253">
        <v>0</v>
      </c>
      <c r="M64" s="253">
        <v>0</v>
      </c>
      <c r="N64" s="253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0</v>
      </c>
      <c r="W64" s="159">
        <v>0</v>
      </c>
      <c r="X64" s="159">
        <v>0</v>
      </c>
      <c r="Y64" s="159">
        <v>0</v>
      </c>
      <c r="Z64" s="159">
        <v>0</v>
      </c>
      <c r="AA64" s="159">
        <v>0</v>
      </c>
      <c r="AB64" s="159">
        <v>0</v>
      </c>
      <c r="AC64" s="159">
        <v>0</v>
      </c>
      <c r="AD64" s="159">
        <v>0</v>
      </c>
      <c r="AE64" s="159">
        <v>0</v>
      </c>
      <c r="AF64" s="159">
        <v>0</v>
      </c>
      <c r="AG64" s="159">
        <v>0</v>
      </c>
      <c r="AH64" s="159">
        <v>0</v>
      </c>
      <c r="AI64" s="159">
        <v>0</v>
      </c>
      <c r="AJ64" s="159">
        <v>0</v>
      </c>
      <c r="AK64" s="159">
        <v>0</v>
      </c>
      <c r="AL64" s="159">
        <v>0</v>
      </c>
      <c r="AM64" s="159">
        <v>0</v>
      </c>
      <c r="AN64" s="159">
        <v>0</v>
      </c>
      <c r="AO64" s="159">
        <v>0</v>
      </c>
      <c r="AP64" s="159">
        <v>0</v>
      </c>
      <c r="AQ64" s="159">
        <v>0</v>
      </c>
      <c r="AR64" s="159">
        <v>0</v>
      </c>
      <c r="AS64" s="159">
        <v>0</v>
      </c>
      <c r="AT64" s="159">
        <v>0</v>
      </c>
      <c r="AU64" s="159">
        <v>0</v>
      </c>
      <c r="AV64" s="159">
        <v>0</v>
      </c>
      <c r="AW64" s="159">
        <v>0</v>
      </c>
      <c r="AX64" s="159">
        <v>0</v>
      </c>
      <c r="AY64" s="159">
        <v>0</v>
      </c>
      <c r="AZ64" s="159">
        <v>0</v>
      </c>
      <c r="BA64" s="159">
        <v>0</v>
      </c>
      <c r="BB64" s="159">
        <v>0</v>
      </c>
      <c r="BC64" s="159">
        <f t="shared" si="7"/>
        <v>0</v>
      </c>
      <c r="BD64" s="159">
        <f t="shared" si="8"/>
        <v>0</v>
      </c>
      <c r="BE64" s="159">
        <f t="shared" si="9"/>
        <v>0</v>
      </c>
      <c r="BF64" s="159">
        <f t="shared" si="10"/>
        <v>0</v>
      </c>
      <c r="BG64" s="159">
        <f t="shared" si="11"/>
        <v>0</v>
      </c>
      <c r="BH64" s="66"/>
    </row>
    <row r="65" spans="1:60" s="65" customFormat="1" ht="31.5">
      <c r="A65" s="137" t="s">
        <v>423</v>
      </c>
      <c r="B65" s="129" t="s">
        <v>1070</v>
      </c>
      <c r="C65" s="133" t="s">
        <v>1086</v>
      </c>
      <c r="D65" s="163" t="s">
        <v>876</v>
      </c>
      <c r="E65" s="253">
        <v>0</v>
      </c>
      <c r="F65" s="253">
        <v>0</v>
      </c>
      <c r="G65" s="253">
        <v>0</v>
      </c>
      <c r="H65" s="253">
        <v>0</v>
      </c>
      <c r="I65" s="253">
        <v>0</v>
      </c>
      <c r="J65" s="253">
        <v>0</v>
      </c>
      <c r="K65" s="253">
        <v>0</v>
      </c>
      <c r="L65" s="253">
        <v>0</v>
      </c>
      <c r="M65" s="253">
        <v>0</v>
      </c>
      <c r="N65" s="253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159">
        <v>0</v>
      </c>
      <c r="Y65" s="159">
        <v>0</v>
      </c>
      <c r="Z65" s="159">
        <v>0</v>
      </c>
      <c r="AA65" s="159">
        <v>0</v>
      </c>
      <c r="AB65" s="159">
        <v>0</v>
      </c>
      <c r="AC65" s="159">
        <v>0</v>
      </c>
      <c r="AD65" s="159">
        <v>0</v>
      </c>
      <c r="AE65" s="159">
        <v>0</v>
      </c>
      <c r="AF65" s="159">
        <v>0</v>
      </c>
      <c r="AG65" s="159">
        <v>0</v>
      </c>
      <c r="AH65" s="159">
        <v>0</v>
      </c>
      <c r="AI65" s="159">
        <v>0</v>
      </c>
      <c r="AJ65" s="159">
        <v>0</v>
      </c>
      <c r="AK65" s="159">
        <v>0</v>
      </c>
      <c r="AL65" s="159">
        <v>0</v>
      </c>
      <c r="AM65" s="159">
        <v>0</v>
      </c>
      <c r="AN65" s="159">
        <v>0</v>
      </c>
      <c r="AO65" s="159">
        <v>0</v>
      </c>
      <c r="AP65" s="159">
        <v>0</v>
      </c>
      <c r="AQ65" s="159">
        <v>0</v>
      </c>
      <c r="AR65" s="159">
        <v>0</v>
      </c>
      <c r="AS65" s="159">
        <v>0</v>
      </c>
      <c r="AT65" s="159">
        <v>0</v>
      </c>
      <c r="AU65" s="159">
        <v>0</v>
      </c>
      <c r="AV65" s="159">
        <v>0</v>
      </c>
      <c r="AW65" s="159">
        <v>0</v>
      </c>
      <c r="AX65" s="159">
        <v>0</v>
      </c>
      <c r="AY65" s="159">
        <v>0</v>
      </c>
      <c r="AZ65" s="159">
        <v>0</v>
      </c>
      <c r="BA65" s="159">
        <v>0</v>
      </c>
      <c r="BB65" s="159">
        <v>0</v>
      </c>
      <c r="BC65" s="159">
        <f t="shared" si="7"/>
        <v>0</v>
      </c>
      <c r="BD65" s="159">
        <f t="shared" si="8"/>
        <v>0</v>
      </c>
      <c r="BE65" s="159">
        <f t="shared" si="9"/>
        <v>0</v>
      </c>
      <c r="BF65" s="159">
        <f t="shared" si="10"/>
        <v>0</v>
      </c>
      <c r="BG65" s="159">
        <f t="shared" si="11"/>
        <v>0</v>
      </c>
      <c r="BH65" s="111"/>
    </row>
    <row r="66" spans="1:60" s="65" customFormat="1">
      <c r="A66" s="137" t="s">
        <v>424</v>
      </c>
      <c r="B66" s="129" t="s">
        <v>1071</v>
      </c>
      <c r="C66" s="133" t="s">
        <v>1090</v>
      </c>
      <c r="D66" s="163" t="s">
        <v>876</v>
      </c>
      <c r="E66" s="253">
        <v>0</v>
      </c>
      <c r="F66" s="253">
        <v>0</v>
      </c>
      <c r="G66" s="253">
        <v>0</v>
      </c>
      <c r="H66" s="253">
        <v>0</v>
      </c>
      <c r="I66" s="253">
        <v>0</v>
      </c>
      <c r="J66" s="253">
        <v>0</v>
      </c>
      <c r="K66" s="253">
        <v>0</v>
      </c>
      <c r="L66" s="253">
        <v>0</v>
      </c>
      <c r="M66" s="253">
        <v>0</v>
      </c>
      <c r="N66" s="253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59">
        <v>0</v>
      </c>
      <c r="W66" s="159">
        <v>0</v>
      </c>
      <c r="X66" s="159">
        <v>0</v>
      </c>
      <c r="Y66" s="159">
        <v>0</v>
      </c>
      <c r="Z66" s="159">
        <v>0</v>
      </c>
      <c r="AA66" s="159">
        <v>0</v>
      </c>
      <c r="AB66" s="159">
        <v>0</v>
      </c>
      <c r="AC66" s="159">
        <v>0</v>
      </c>
      <c r="AD66" s="159">
        <v>0</v>
      </c>
      <c r="AE66" s="159">
        <v>0</v>
      </c>
      <c r="AF66" s="159">
        <v>0</v>
      </c>
      <c r="AG66" s="159">
        <v>0</v>
      </c>
      <c r="AH66" s="159">
        <v>0</v>
      </c>
      <c r="AI66" s="159">
        <v>0</v>
      </c>
      <c r="AJ66" s="159">
        <v>0</v>
      </c>
      <c r="AK66" s="159">
        <v>0</v>
      </c>
      <c r="AL66" s="159">
        <v>0</v>
      </c>
      <c r="AM66" s="159">
        <v>0</v>
      </c>
      <c r="AN66" s="159">
        <v>0</v>
      </c>
      <c r="AO66" s="159">
        <v>0</v>
      </c>
      <c r="AP66" s="159">
        <v>0</v>
      </c>
      <c r="AQ66" s="159">
        <v>0</v>
      </c>
      <c r="AR66" s="159">
        <v>0</v>
      </c>
      <c r="AS66" s="159">
        <v>0</v>
      </c>
      <c r="AT66" s="159">
        <v>0</v>
      </c>
      <c r="AU66" s="159">
        <v>0</v>
      </c>
      <c r="AV66" s="159">
        <v>0</v>
      </c>
      <c r="AW66" s="159">
        <v>0</v>
      </c>
      <c r="AX66" s="159">
        <v>0</v>
      </c>
      <c r="AY66" s="159">
        <v>0</v>
      </c>
      <c r="AZ66" s="159">
        <v>0</v>
      </c>
      <c r="BA66" s="159">
        <v>0</v>
      </c>
      <c r="BB66" s="159">
        <v>0</v>
      </c>
      <c r="BC66" s="159">
        <f t="shared" si="7"/>
        <v>0</v>
      </c>
      <c r="BD66" s="159">
        <f t="shared" si="8"/>
        <v>0</v>
      </c>
      <c r="BE66" s="159">
        <f t="shared" si="9"/>
        <v>0</v>
      </c>
      <c r="BF66" s="159">
        <f t="shared" si="10"/>
        <v>0</v>
      </c>
      <c r="BG66" s="159">
        <f t="shared" si="11"/>
        <v>0</v>
      </c>
      <c r="BH66" s="111"/>
    </row>
    <row r="67" spans="1:60" s="65" customFormat="1" ht="94.5">
      <c r="A67" s="118" t="s">
        <v>426</v>
      </c>
      <c r="B67" s="144" t="s">
        <v>914</v>
      </c>
      <c r="C67" s="125" t="s">
        <v>876</v>
      </c>
      <c r="D67" s="163" t="s">
        <v>876</v>
      </c>
      <c r="E67" s="253">
        <f t="shared" si="2"/>
        <v>0</v>
      </c>
      <c r="F67" s="253">
        <f t="shared" si="3"/>
        <v>0</v>
      </c>
      <c r="G67" s="253">
        <f t="shared" si="4"/>
        <v>0</v>
      </c>
      <c r="H67" s="253">
        <f t="shared" si="5"/>
        <v>0</v>
      </c>
      <c r="I67" s="253">
        <f t="shared" si="6"/>
        <v>0</v>
      </c>
      <c r="J67" s="253">
        <v>0</v>
      </c>
      <c r="K67" s="253">
        <v>0</v>
      </c>
      <c r="L67" s="253">
        <v>0</v>
      </c>
      <c r="M67" s="253">
        <v>0</v>
      </c>
      <c r="N67" s="253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59">
        <v>0</v>
      </c>
      <c r="W67" s="159">
        <v>0</v>
      </c>
      <c r="X67" s="159">
        <v>0</v>
      </c>
      <c r="Y67" s="159">
        <v>0</v>
      </c>
      <c r="Z67" s="159">
        <v>0</v>
      </c>
      <c r="AA67" s="159">
        <v>0</v>
      </c>
      <c r="AB67" s="159">
        <v>0</v>
      </c>
      <c r="AC67" s="159">
        <v>0</v>
      </c>
      <c r="AD67" s="159">
        <v>0</v>
      </c>
      <c r="AE67" s="159">
        <v>0</v>
      </c>
      <c r="AF67" s="159">
        <v>0</v>
      </c>
      <c r="AG67" s="159">
        <v>0</v>
      </c>
      <c r="AH67" s="159">
        <v>0</v>
      </c>
      <c r="AI67" s="159">
        <v>0</v>
      </c>
      <c r="AJ67" s="159">
        <v>0</v>
      </c>
      <c r="AK67" s="159">
        <v>0</v>
      </c>
      <c r="AL67" s="159">
        <v>0</v>
      </c>
      <c r="AM67" s="159">
        <v>0</v>
      </c>
      <c r="AN67" s="159">
        <v>0</v>
      </c>
      <c r="AO67" s="159">
        <v>0</v>
      </c>
      <c r="AP67" s="159">
        <v>0</v>
      </c>
      <c r="AQ67" s="159">
        <v>0</v>
      </c>
      <c r="AR67" s="159">
        <v>0</v>
      </c>
      <c r="AS67" s="159">
        <v>0</v>
      </c>
      <c r="AT67" s="159">
        <v>0</v>
      </c>
      <c r="AU67" s="159">
        <v>0</v>
      </c>
      <c r="AV67" s="159">
        <v>0</v>
      </c>
      <c r="AW67" s="159">
        <v>0</v>
      </c>
      <c r="AX67" s="159">
        <v>0</v>
      </c>
      <c r="AY67" s="159">
        <v>0</v>
      </c>
      <c r="AZ67" s="159">
        <v>0</v>
      </c>
      <c r="BA67" s="159">
        <v>0</v>
      </c>
      <c r="BB67" s="159">
        <v>0</v>
      </c>
      <c r="BC67" s="159">
        <f t="shared" si="7"/>
        <v>0</v>
      </c>
      <c r="BD67" s="159">
        <f t="shared" si="8"/>
        <v>0</v>
      </c>
      <c r="BE67" s="159">
        <f t="shared" si="9"/>
        <v>0</v>
      </c>
      <c r="BF67" s="159">
        <f t="shared" si="10"/>
        <v>0</v>
      </c>
      <c r="BG67" s="159">
        <f t="shared" si="11"/>
        <v>0</v>
      </c>
      <c r="BH67" s="66"/>
    </row>
    <row r="68" spans="1:60" s="65" customFormat="1" ht="78.75">
      <c r="A68" s="118" t="s">
        <v>841</v>
      </c>
      <c r="B68" s="144" t="s">
        <v>915</v>
      </c>
      <c r="C68" s="125" t="s">
        <v>876</v>
      </c>
      <c r="D68" s="163" t="s">
        <v>876</v>
      </c>
      <c r="E68" s="253">
        <f t="shared" ref="E68:AJ68" si="14">E69</f>
        <v>0</v>
      </c>
      <c r="F68" s="253">
        <f t="shared" si="14"/>
        <v>0</v>
      </c>
      <c r="G68" s="253">
        <f t="shared" si="14"/>
        <v>2.7749999999999999</v>
      </c>
      <c r="H68" s="253">
        <f t="shared" si="14"/>
        <v>0</v>
      </c>
      <c r="I68" s="253">
        <f t="shared" si="14"/>
        <v>0</v>
      </c>
      <c r="J68" s="253">
        <f t="shared" si="14"/>
        <v>0</v>
      </c>
      <c r="K68" s="253">
        <f t="shared" si="14"/>
        <v>0</v>
      </c>
      <c r="L68" s="253">
        <f t="shared" si="14"/>
        <v>0</v>
      </c>
      <c r="M68" s="253">
        <f t="shared" si="14"/>
        <v>0</v>
      </c>
      <c r="N68" s="253">
        <f t="shared" si="14"/>
        <v>0</v>
      </c>
      <c r="O68" s="159">
        <f t="shared" si="14"/>
        <v>0</v>
      </c>
      <c r="P68" s="159">
        <f t="shared" si="14"/>
        <v>0</v>
      </c>
      <c r="Q68" s="159">
        <f t="shared" si="14"/>
        <v>0</v>
      </c>
      <c r="R68" s="159">
        <f t="shared" si="14"/>
        <v>0</v>
      </c>
      <c r="S68" s="159">
        <f t="shared" si="14"/>
        <v>0</v>
      </c>
      <c r="T68" s="159">
        <f t="shared" si="14"/>
        <v>0</v>
      </c>
      <c r="U68" s="159">
        <f t="shared" si="14"/>
        <v>0</v>
      </c>
      <c r="V68" s="159">
        <f t="shared" si="14"/>
        <v>0</v>
      </c>
      <c r="W68" s="159">
        <f t="shared" si="14"/>
        <v>0</v>
      </c>
      <c r="X68" s="159">
        <f t="shared" si="14"/>
        <v>0</v>
      </c>
      <c r="Y68" s="159">
        <f t="shared" si="14"/>
        <v>0</v>
      </c>
      <c r="Z68" s="159">
        <f t="shared" si="14"/>
        <v>0</v>
      </c>
      <c r="AA68" s="159">
        <f t="shared" si="14"/>
        <v>2.7749999999999999</v>
      </c>
      <c r="AB68" s="159">
        <f t="shared" si="14"/>
        <v>0</v>
      </c>
      <c r="AC68" s="159">
        <f t="shared" si="14"/>
        <v>0</v>
      </c>
      <c r="AD68" s="159">
        <f t="shared" si="14"/>
        <v>0</v>
      </c>
      <c r="AE68" s="159">
        <f t="shared" si="14"/>
        <v>0</v>
      </c>
      <c r="AF68" s="159">
        <f t="shared" si="14"/>
        <v>0</v>
      </c>
      <c r="AG68" s="159">
        <f t="shared" si="14"/>
        <v>0</v>
      </c>
      <c r="AH68" s="159">
        <f t="shared" si="14"/>
        <v>0</v>
      </c>
      <c r="AI68" s="159">
        <f t="shared" si="14"/>
        <v>0</v>
      </c>
      <c r="AJ68" s="159">
        <f t="shared" si="14"/>
        <v>0</v>
      </c>
      <c r="AK68" s="159">
        <f t="shared" ref="AK68:BB68" si="15">AK69</f>
        <v>0</v>
      </c>
      <c r="AL68" s="159">
        <f t="shared" si="15"/>
        <v>0</v>
      </c>
      <c r="AM68" s="159">
        <f t="shared" si="15"/>
        <v>0</v>
      </c>
      <c r="AN68" s="159">
        <f t="shared" si="15"/>
        <v>0</v>
      </c>
      <c r="AO68" s="159">
        <f t="shared" si="15"/>
        <v>0</v>
      </c>
      <c r="AP68" s="159">
        <f t="shared" si="15"/>
        <v>0</v>
      </c>
      <c r="AQ68" s="159">
        <f t="shared" si="15"/>
        <v>0</v>
      </c>
      <c r="AR68" s="159">
        <f t="shared" si="15"/>
        <v>0</v>
      </c>
      <c r="AS68" s="159">
        <f t="shared" si="15"/>
        <v>0</v>
      </c>
      <c r="AT68" s="159">
        <f t="shared" si="15"/>
        <v>0</v>
      </c>
      <c r="AU68" s="159">
        <f t="shared" si="15"/>
        <v>0</v>
      </c>
      <c r="AV68" s="159">
        <f t="shared" si="15"/>
        <v>0</v>
      </c>
      <c r="AW68" s="159">
        <f t="shared" si="15"/>
        <v>0</v>
      </c>
      <c r="AX68" s="159">
        <f t="shared" si="15"/>
        <v>0</v>
      </c>
      <c r="AY68" s="159">
        <f t="shared" si="15"/>
        <v>0</v>
      </c>
      <c r="AZ68" s="159">
        <f t="shared" si="15"/>
        <v>0</v>
      </c>
      <c r="BA68" s="159">
        <f t="shared" si="15"/>
        <v>0</v>
      </c>
      <c r="BB68" s="159">
        <f t="shared" si="15"/>
        <v>0</v>
      </c>
      <c r="BC68" s="159">
        <f t="shared" si="7"/>
        <v>0</v>
      </c>
      <c r="BD68" s="159">
        <f t="shared" si="8"/>
        <v>0</v>
      </c>
      <c r="BE68" s="159">
        <f t="shared" si="9"/>
        <v>2.7749999999999999</v>
      </c>
      <c r="BF68" s="159">
        <f t="shared" si="10"/>
        <v>0</v>
      </c>
      <c r="BG68" s="159">
        <f t="shared" si="11"/>
        <v>0</v>
      </c>
      <c r="BH68" s="66"/>
    </row>
    <row r="69" spans="1:60" s="65" customFormat="1" ht="47.25">
      <c r="A69" s="118" t="s">
        <v>916</v>
      </c>
      <c r="B69" s="144" t="s">
        <v>917</v>
      </c>
      <c r="C69" s="138" t="s">
        <v>876</v>
      </c>
      <c r="D69" s="163" t="s">
        <v>876</v>
      </c>
      <c r="E69" s="253">
        <f t="shared" ref="E69:AJ69" si="16">SUM(E70:E72)</f>
        <v>0</v>
      </c>
      <c r="F69" s="253">
        <f t="shared" si="16"/>
        <v>0</v>
      </c>
      <c r="G69" s="253">
        <f t="shared" si="16"/>
        <v>2.7749999999999999</v>
      </c>
      <c r="H69" s="253">
        <f t="shared" si="16"/>
        <v>0</v>
      </c>
      <c r="I69" s="253">
        <f t="shared" si="16"/>
        <v>0</v>
      </c>
      <c r="J69" s="253">
        <f t="shared" si="16"/>
        <v>0</v>
      </c>
      <c r="K69" s="253">
        <f t="shared" si="16"/>
        <v>0</v>
      </c>
      <c r="L69" s="253">
        <f t="shared" si="16"/>
        <v>0</v>
      </c>
      <c r="M69" s="253">
        <f t="shared" si="16"/>
        <v>0</v>
      </c>
      <c r="N69" s="253">
        <f t="shared" si="16"/>
        <v>0</v>
      </c>
      <c r="O69" s="159">
        <f t="shared" si="16"/>
        <v>0</v>
      </c>
      <c r="P69" s="159">
        <f t="shared" si="16"/>
        <v>0</v>
      </c>
      <c r="Q69" s="159">
        <f t="shared" si="16"/>
        <v>0</v>
      </c>
      <c r="R69" s="159">
        <f t="shared" si="16"/>
        <v>0</v>
      </c>
      <c r="S69" s="159">
        <f t="shared" si="16"/>
        <v>0</v>
      </c>
      <c r="T69" s="159">
        <f t="shared" si="16"/>
        <v>0</v>
      </c>
      <c r="U69" s="159">
        <f t="shared" si="16"/>
        <v>0</v>
      </c>
      <c r="V69" s="159">
        <f t="shared" si="16"/>
        <v>0</v>
      </c>
      <c r="W69" s="159">
        <f t="shared" si="16"/>
        <v>0</v>
      </c>
      <c r="X69" s="159">
        <f t="shared" si="16"/>
        <v>0</v>
      </c>
      <c r="Y69" s="159">
        <f t="shared" si="16"/>
        <v>0</v>
      </c>
      <c r="Z69" s="159">
        <f t="shared" si="16"/>
        <v>0</v>
      </c>
      <c r="AA69" s="159">
        <f t="shared" si="16"/>
        <v>2.7749999999999999</v>
      </c>
      <c r="AB69" s="159">
        <f t="shared" si="16"/>
        <v>0</v>
      </c>
      <c r="AC69" s="159">
        <f t="shared" si="16"/>
        <v>0</v>
      </c>
      <c r="AD69" s="159">
        <f t="shared" si="16"/>
        <v>0</v>
      </c>
      <c r="AE69" s="159">
        <f t="shared" si="16"/>
        <v>0</v>
      </c>
      <c r="AF69" s="159">
        <f t="shared" si="16"/>
        <v>0</v>
      </c>
      <c r="AG69" s="159">
        <f t="shared" si="16"/>
        <v>0</v>
      </c>
      <c r="AH69" s="159">
        <f t="shared" si="16"/>
        <v>0</v>
      </c>
      <c r="AI69" s="159">
        <f t="shared" si="16"/>
        <v>0</v>
      </c>
      <c r="AJ69" s="159">
        <f t="shared" si="16"/>
        <v>0</v>
      </c>
      <c r="AK69" s="159">
        <f t="shared" ref="AK69:BB69" si="17">SUM(AK70:AK72)</f>
        <v>0</v>
      </c>
      <c r="AL69" s="159">
        <f t="shared" si="17"/>
        <v>0</v>
      </c>
      <c r="AM69" s="159">
        <f t="shared" si="17"/>
        <v>0</v>
      </c>
      <c r="AN69" s="159">
        <f t="shared" si="17"/>
        <v>0</v>
      </c>
      <c r="AO69" s="159">
        <f t="shared" si="17"/>
        <v>0</v>
      </c>
      <c r="AP69" s="159">
        <f t="shared" si="17"/>
        <v>0</v>
      </c>
      <c r="AQ69" s="159">
        <f t="shared" si="17"/>
        <v>0</v>
      </c>
      <c r="AR69" s="159">
        <f t="shared" si="17"/>
        <v>0</v>
      </c>
      <c r="AS69" s="159">
        <f t="shared" si="17"/>
        <v>0</v>
      </c>
      <c r="AT69" s="159">
        <f t="shared" si="17"/>
        <v>0</v>
      </c>
      <c r="AU69" s="159">
        <f t="shared" si="17"/>
        <v>0</v>
      </c>
      <c r="AV69" s="159">
        <f t="shared" si="17"/>
        <v>0</v>
      </c>
      <c r="AW69" s="159">
        <f t="shared" si="17"/>
        <v>0</v>
      </c>
      <c r="AX69" s="159">
        <f t="shared" si="17"/>
        <v>0</v>
      </c>
      <c r="AY69" s="159">
        <f t="shared" si="17"/>
        <v>0</v>
      </c>
      <c r="AZ69" s="159">
        <f t="shared" si="17"/>
        <v>0</v>
      </c>
      <c r="BA69" s="159">
        <f t="shared" si="17"/>
        <v>0</v>
      </c>
      <c r="BB69" s="159">
        <f t="shared" si="17"/>
        <v>0</v>
      </c>
      <c r="BC69" s="159">
        <f t="shared" si="7"/>
        <v>0</v>
      </c>
      <c r="BD69" s="159">
        <f t="shared" si="8"/>
        <v>0</v>
      </c>
      <c r="BE69" s="159">
        <f t="shared" si="9"/>
        <v>2.7749999999999999</v>
      </c>
      <c r="BF69" s="159">
        <f t="shared" si="10"/>
        <v>0</v>
      </c>
      <c r="BG69" s="159">
        <f t="shared" si="11"/>
        <v>0</v>
      </c>
      <c r="BH69" s="66"/>
    </row>
    <row r="70" spans="1:60" s="65" customFormat="1" ht="126">
      <c r="A70" s="137" t="s">
        <v>916</v>
      </c>
      <c r="B70" s="131" t="s">
        <v>918</v>
      </c>
      <c r="C70" s="119" t="s">
        <v>919</v>
      </c>
      <c r="D70" s="163" t="s">
        <v>876</v>
      </c>
      <c r="E70" s="253">
        <f t="shared" si="2"/>
        <v>0</v>
      </c>
      <c r="F70" s="253">
        <f t="shared" si="3"/>
        <v>0</v>
      </c>
      <c r="G70" s="253">
        <f t="shared" si="4"/>
        <v>0</v>
      </c>
      <c r="H70" s="253">
        <f t="shared" si="5"/>
        <v>0</v>
      </c>
      <c r="I70" s="253">
        <f t="shared" si="6"/>
        <v>0</v>
      </c>
      <c r="J70" s="253">
        <v>0</v>
      </c>
      <c r="K70" s="253">
        <v>0</v>
      </c>
      <c r="L70" s="253">
        <v>0</v>
      </c>
      <c r="M70" s="253">
        <v>0</v>
      </c>
      <c r="N70" s="253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59">
        <v>0</v>
      </c>
      <c r="W70" s="159">
        <v>0</v>
      </c>
      <c r="X70" s="159">
        <v>0</v>
      </c>
      <c r="Y70" s="159">
        <v>0</v>
      </c>
      <c r="Z70" s="159">
        <v>0</v>
      </c>
      <c r="AA70" s="159">
        <v>0</v>
      </c>
      <c r="AB70" s="159">
        <v>0</v>
      </c>
      <c r="AC70" s="159">
        <v>0</v>
      </c>
      <c r="AD70" s="159">
        <v>0</v>
      </c>
      <c r="AE70" s="159">
        <v>0</v>
      </c>
      <c r="AF70" s="159">
        <v>0</v>
      </c>
      <c r="AG70" s="159">
        <v>0</v>
      </c>
      <c r="AH70" s="159">
        <v>0</v>
      </c>
      <c r="AI70" s="159">
        <v>0</v>
      </c>
      <c r="AJ70" s="159">
        <v>0</v>
      </c>
      <c r="AK70" s="159">
        <v>0</v>
      </c>
      <c r="AL70" s="159">
        <v>0</v>
      </c>
      <c r="AM70" s="159">
        <v>0</v>
      </c>
      <c r="AN70" s="159">
        <v>0</v>
      </c>
      <c r="AO70" s="159">
        <v>0</v>
      </c>
      <c r="AP70" s="159">
        <v>0</v>
      </c>
      <c r="AQ70" s="159">
        <v>0</v>
      </c>
      <c r="AR70" s="159">
        <v>0</v>
      </c>
      <c r="AS70" s="159">
        <v>0</v>
      </c>
      <c r="AT70" s="159">
        <v>0</v>
      </c>
      <c r="AU70" s="159">
        <v>0</v>
      </c>
      <c r="AV70" s="159">
        <v>0</v>
      </c>
      <c r="AW70" s="159">
        <v>0</v>
      </c>
      <c r="AX70" s="159">
        <v>0</v>
      </c>
      <c r="AY70" s="159">
        <v>0</v>
      </c>
      <c r="AZ70" s="159">
        <v>0</v>
      </c>
      <c r="BA70" s="159">
        <v>0</v>
      </c>
      <c r="BB70" s="159">
        <v>0</v>
      </c>
      <c r="BC70" s="159">
        <f t="shared" si="7"/>
        <v>0</v>
      </c>
      <c r="BD70" s="159">
        <f t="shared" si="8"/>
        <v>0</v>
      </c>
      <c r="BE70" s="159">
        <f t="shared" si="9"/>
        <v>0</v>
      </c>
      <c r="BF70" s="159">
        <f t="shared" si="10"/>
        <v>0</v>
      </c>
      <c r="BG70" s="159">
        <f t="shared" si="11"/>
        <v>0</v>
      </c>
      <c r="BH70" s="66"/>
    </row>
    <row r="71" spans="1:60" s="65" customFormat="1" ht="78.75">
      <c r="A71" s="137" t="s">
        <v>916</v>
      </c>
      <c r="B71" s="131" t="s">
        <v>922</v>
      </c>
      <c r="C71" s="119" t="s">
        <v>923</v>
      </c>
      <c r="D71" s="153" t="s">
        <v>1091</v>
      </c>
      <c r="E71" s="253">
        <f t="shared" si="2"/>
        <v>0</v>
      </c>
      <c r="F71" s="253">
        <f t="shared" si="3"/>
        <v>0</v>
      </c>
      <c r="G71" s="253">
        <f t="shared" si="4"/>
        <v>1</v>
      </c>
      <c r="H71" s="253">
        <f t="shared" si="5"/>
        <v>0</v>
      </c>
      <c r="I71" s="253">
        <f t="shared" si="6"/>
        <v>0</v>
      </c>
      <c r="J71" s="253">
        <v>0</v>
      </c>
      <c r="K71" s="253">
        <v>0</v>
      </c>
      <c r="L71" s="253">
        <v>0</v>
      </c>
      <c r="M71" s="253">
        <v>0</v>
      </c>
      <c r="N71" s="253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59">
        <v>0</v>
      </c>
      <c r="W71" s="159">
        <v>0</v>
      </c>
      <c r="X71" s="159">
        <v>0</v>
      </c>
      <c r="Y71" s="159">
        <v>0</v>
      </c>
      <c r="Z71" s="159">
        <v>0</v>
      </c>
      <c r="AA71" s="159">
        <v>1</v>
      </c>
      <c r="AB71" s="159">
        <v>0</v>
      </c>
      <c r="AC71" s="159">
        <v>0</v>
      </c>
      <c r="AD71" s="159">
        <v>0</v>
      </c>
      <c r="AE71" s="159">
        <v>0</v>
      </c>
      <c r="AF71" s="159">
        <v>0</v>
      </c>
      <c r="AG71" s="159">
        <v>0</v>
      </c>
      <c r="AH71" s="159">
        <v>0</v>
      </c>
      <c r="AI71" s="159">
        <v>0</v>
      </c>
      <c r="AJ71" s="159">
        <v>0</v>
      </c>
      <c r="AK71" s="159">
        <v>0</v>
      </c>
      <c r="AL71" s="159">
        <v>0</v>
      </c>
      <c r="AM71" s="159">
        <v>0</v>
      </c>
      <c r="AN71" s="159">
        <v>0</v>
      </c>
      <c r="AO71" s="159">
        <v>0</v>
      </c>
      <c r="AP71" s="159">
        <v>0</v>
      </c>
      <c r="AQ71" s="159">
        <v>0</v>
      </c>
      <c r="AR71" s="159">
        <v>0</v>
      </c>
      <c r="AS71" s="159">
        <v>0</v>
      </c>
      <c r="AT71" s="159">
        <v>0</v>
      </c>
      <c r="AU71" s="159">
        <v>0</v>
      </c>
      <c r="AV71" s="159">
        <v>0</v>
      </c>
      <c r="AW71" s="159">
        <v>0</v>
      </c>
      <c r="AX71" s="159">
        <v>0</v>
      </c>
      <c r="AY71" s="159">
        <v>0</v>
      </c>
      <c r="AZ71" s="159">
        <v>0</v>
      </c>
      <c r="BA71" s="159">
        <v>0</v>
      </c>
      <c r="BB71" s="159">
        <v>0</v>
      </c>
      <c r="BC71" s="159">
        <f t="shared" si="7"/>
        <v>0</v>
      </c>
      <c r="BD71" s="159">
        <f t="shared" si="8"/>
        <v>0</v>
      </c>
      <c r="BE71" s="159">
        <f t="shared" si="9"/>
        <v>1</v>
      </c>
      <c r="BF71" s="159">
        <f t="shared" si="10"/>
        <v>0</v>
      </c>
      <c r="BG71" s="159">
        <f t="shared" si="11"/>
        <v>0</v>
      </c>
      <c r="BH71" s="66"/>
    </row>
    <row r="72" spans="1:60" s="65" customFormat="1" ht="110.25">
      <c r="A72" s="137" t="s">
        <v>916</v>
      </c>
      <c r="B72" s="131" t="s">
        <v>1089</v>
      </c>
      <c r="C72" s="119" t="s">
        <v>924</v>
      </c>
      <c r="D72" s="153" t="s">
        <v>1092</v>
      </c>
      <c r="E72" s="253">
        <f t="shared" si="2"/>
        <v>0</v>
      </c>
      <c r="F72" s="253">
        <f t="shared" si="3"/>
        <v>0</v>
      </c>
      <c r="G72" s="253">
        <f t="shared" si="4"/>
        <v>1.7749999999999999</v>
      </c>
      <c r="H72" s="253">
        <f t="shared" si="5"/>
        <v>0</v>
      </c>
      <c r="I72" s="253">
        <f t="shared" si="6"/>
        <v>0</v>
      </c>
      <c r="J72" s="253">
        <v>0</v>
      </c>
      <c r="K72" s="253">
        <v>0</v>
      </c>
      <c r="L72" s="253">
        <v>0</v>
      </c>
      <c r="M72" s="253">
        <v>0</v>
      </c>
      <c r="N72" s="253">
        <v>0</v>
      </c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1.7749999999999999</v>
      </c>
      <c r="AB72" s="159">
        <v>0</v>
      </c>
      <c r="AC72" s="159">
        <v>0</v>
      </c>
      <c r="AD72" s="159">
        <v>0</v>
      </c>
      <c r="AE72" s="159">
        <v>0</v>
      </c>
      <c r="AF72" s="159">
        <v>0</v>
      </c>
      <c r="AG72" s="159">
        <v>0</v>
      </c>
      <c r="AH72" s="159">
        <v>0</v>
      </c>
      <c r="AI72" s="159">
        <v>0</v>
      </c>
      <c r="AJ72" s="159">
        <v>0</v>
      </c>
      <c r="AK72" s="159">
        <v>0</v>
      </c>
      <c r="AL72" s="159">
        <v>0</v>
      </c>
      <c r="AM72" s="159">
        <v>0</v>
      </c>
      <c r="AN72" s="159">
        <v>0</v>
      </c>
      <c r="AO72" s="159">
        <v>0</v>
      </c>
      <c r="AP72" s="159">
        <v>0</v>
      </c>
      <c r="AQ72" s="159">
        <v>0</v>
      </c>
      <c r="AR72" s="159">
        <v>0</v>
      </c>
      <c r="AS72" s="159">
        <v>0</v>
      </c>
      <c r="AT72" s="159">
        <v>0</v>
      </c>
      <c r="AU72" s="159">
        <v>0</v>
      </c>
      <c r="AV72" s="159">
        <v>0</v>
      </c>
      <c r="AW72" s="159">
        <v>0</v>
      </c>
      <c r="AX72" s="159">
        <v>0</v>
      </c>
      <c r="AY72" s="159">
        <v>0</v>
      </c>
      <c r="AZ72" s="159">
        <v>0</v>
      </c>
      <c r="BA72" s="159">
        <v>0</v>
      </c>
      <c r="BB72" s="159">
        <v>0</v>
      </c>
      <c r="BC72" s="159">
        <f t="shared" si="7"/>
        <v>0</v>
      </c>
      <c r="BD72" s="159">
        <f t="shared" si="8"/>
        <v>0</v>
      </c>
      <c r="BE72" s="159">
        <f t="shared" si="9"/>
        <v>1.7749999999999999</v>
      </c>
      <c r="BF72" s="159">
        <f t="shared" si="10"/>
        <v>0</v>
      </c>
      <c r="BG72" s="159">
        <f t="shared" si="11"/>
        <v>0</v>
      </c>
      <c r="BH72" s="66"/>
    </row>
    <row r="73" spans="1:60" s="65" customFormat="1" ht="63">
      <c r="A73" s="137" t="s">
        <v>916</v>
      </c>
      <c r="B73" s="149" t="s">
        <v>1069</v>
      </c>
      <c r="C73" s="121" t="s">
        <v>1093</v>
      </c>
      <c r="D73" s="163" t="s">
        <v>876</v>
      </c>
      <c r="E73" s="253">
        <v>0</v>
      </c>
      <c r="F73" s="253">
        <v>0</v>
      </c>
      <c r="G73" s="253">
        <v>0</v>
      </c>
      <c r="H73" s="253">
        <v>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0</v>
      </c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59">
        <v>0</v>
      </c>
      <c r="AC73" s="159">
        <v>0</v>
      </c>
      <c r="AD73" s="159">
        <v>0</v>
      </c>
      <c r="AE73" s="159">
        <v>0</v>
      </c>
      <c r="AF73" s="159">
        <v>0</v>
      </c>
      <c r="AG73" s="159">
        <v>0</v>
      </c>
      <c r="AH73" s="159">
        <v>0</v>
      </c>
      <c r="AI73" s="159">
        <v>0</v>
      </c>
      <c r="AJ73" s="159">
        <v>0</v>
      </c>
      <c r="AK73" s="159">
        <v>0</v>
      </c>
      <c r="AL73" s="159">
        <v>0</v>
      </c>
      <c r="AM73" s="159">
        <v>0</v>
      </c>
      <c r="AN73" s="159">
        <v>0</v>
      </c>
      <c r="AO73" s="159">
        <v>0</v>
      </c>
      <c r="AP73" s="159">
        <v>0</v>
      </c>
      <c r="AQ73" s="159">
        <v>0</v>
      </c>
      <c r="AR73" s="159">
        <v>0</v>
      </c>
      <c r="AS73" s="159">
        <v>0</v>
      </c>
      <c r="AT73" s="159">
        <v>0</v>
      </c>
      <c r="AU73" s="159">
        <v>0</v>
      </c>
      <c r="AV73" s="159">
        <v>0</v>
      </c>
      <c r="AW73" s="159">
        <v>0</v>
      </c>
      <c r="AX73" s="159">
        <v>0</v>
      </c>
      <c r="AY73" s="159">
        <v>0</v>
      </c>
      <c r="AZ73" s="159">
        <v>0</v>
      </c>
      <c r="BA73" s="159">
        <v>0</v>
      </c>
      <c r="BB73" s="159">
        <v>0</v>
      </c>
      <c r="BC73" s="159">
        <f t="shared" si="7"/>
        <v>0</v>
      </c>
      <c r="BD73" s="159">
        <f t="shared" si="8"/>
        <v>0</v>
      </c>
      <c r="BE73" s="159">
        <f t="shared" si="9"/>
        <v>0</v>
      </c>
      <c r="BF73" s="159">
        <f t="shared" si="10"/>
        <v>0</v>
      </c>
      <c r="BG73" s="159">
        <f t="shared" si="11"/>
        <v>0</v>
      </c>
      <c r="BH73" s="111"/>
    </row>
    <row r="74" spans="1:60" s="65" customFormat="1" ht="63">
      <c r="A74" s="146" t="s">
        <v>925</v>
      </c>
      <c r="B74" s="144" t="s">
        <v>926</v>
      </c>
      <c r="C74" s="125" t="s">
        <v>876</v>
      </c>
      <c r="D74" s="163" t="s">
        <v>876</v>
      </c>
      <c r="E74" s="253">
        <f t="shared" si="2"/>
        <v>0</v>
      </c>
      <c r="F74" s="253">
        <f t="shared" si="3"/>
        <v>0</v>
      </c>
      <c r="G74" s="253">
        <f t="shared" si="4"/>
        <v>0</v>
      </c>
      <c r="H74" s="253">
        <f t="shared" si="5"/>
        <v>0</v>
      </c>
      <c r="I74" s="253">
        <f t="shared" si="6"/>
        <v>0</v>
      </c>
      <c r="J74" s="253">
        <v>0</v>
      </c>
      <c r="K74" s="253">
        <v>0</v>
      </c>
      <c r="L74" s="253">
        <v>0</v>
      </c>
      <c r="M74" s="253">
        <v>0</v>
      </c>
      <c r="N74" s="253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59">
        <v>0</v>
      </c>
      <c r="U74" s="159">
        <v>0</v>
      </c>
      <c r="V74" s="159">
        <v>0</v>
      </c>
      <c r="W74" s="159">
        <v>0</v>
      </c>
      <c r="X74" s="159">
        <v>0</v>
      </c>
      <c r="Y74" s="159">
        <v>0</v>
      </c>
      <c r="Z74" s="159">
        <v>0</v>
      </c>
      <c r="AA74" s="159">
        <v>0</v>
      </c>
      <c r="AB74" s="159">
        <v>0</v>
      </c>
      <c r="AC74" s="159">
        <v>0</v>
      </c>
      <c r="AD74" s="159">
        <v>0</v>
      </c>
      <c r="AE74" s="159">
        <v>0</v>
      </c>
      <c r="AF74" s="159">
        <v>0</v>
      </c>
      <c r="AG74" s="159">
        <v>0</v>
      </c>
      <c r="AH74" s="159">
        <v>0</v>
      </c>
      <c r="AI74" s="159">
        <v>0</v>
      </c>
      <c r="AJ74" s="159">
        <v>0</v>
      </c>
      <c r="AK74" s="159">
        <v>0</v>
      </c>
      <c r="AL74" s="159">
        <v>0</v>
      </c>
      <c r="AM74" s="159">
        <v>0</v>
      </c>
      <c r="AN74" s="159">
        <v>0</v>
      </c>
      <c r="AO74" s="159">
        <v>0</v>
      </c>
      <c r="AP74" s="159">
        <v>0</v>
      </c>
      <c r="AQ74" s="159">
        <v>0</v>
      </c>
      <c r="AR74" s="159">
        <v>0</v>
      </c>
      <c r="AS74" s="159">
        <v>0</v>
      </c>
      <c r="AT74" s="159">
        <v>0</v>
      </c>
      <c r="AU74" s="159">
        <v>0</v>
      </c>
      <c r="AV74" s="159">
        <v>0</v>
      </c>
      <c r="AW74" s="159">
        <v>0</v>
      </c>
      <c r="AX74" s="159">
        <v>0</v>
      </c>
      <c r="AY74" s="159">
        <v>0</v>
      </c>
      <c r="AZ74" s="159">
        <v>0</v>
      </c>
      <c r="BA74" s="159">
        <v>0</v>
      </c>
      <c r="BB74" s="159">
        <v>0</v>
      </c>
      <c r="BC74" s="159">
        <f t="shared" si="7"/>
        <v>0</v>
      </c>
      <c r="BD74" s="159">
        <f t="shared" si="8"/>
        <v>0</v>
      </c>
      <c r="BE74" s="159">
        <f t="shared" si="9"/>
        <v>0</v>
      </c>
      <c r="BF74" s="159">
        <f t="shared" si="10"/>
        <v>0</v>
      </c>
      <c r="BG74" s="159">
        <f t="shared" si="11"/>
        <v>0</v>
      </c>
      <c r="BH74" s="66"/>
    </row>
    <row r="75" spans="1:60" s="65" customFormat="1" ht="63">
      <c r="A75" s="118" t="s">
        <v>842</v>
      </c>
      <c r="B75" s="144" t="s">
        <v>927</v>
      </c>
      <c r="C75" s="125" t="s">
        <v>876</v>
      </c>
      <c r="D75" s="163" t="s">
        <v>876</v>
      </c>
      <c r="E75" s="253">
        <f t="shared" si="2"/>
        <v>0</v>
      </c>
      <c r="F75" s="253">
        <f t="shared" si="3"/>
        <v>0</v>
      </c>
      <c r="G75" s="253">
        <f t="shared" si="4"/>
        <v>0</v>
      </c>
      <c r="H75" s="253">
        <f t="shared" si="5"/>
        <v>0</v>
      </c>
      <c r="I75" s="253">
        <f t="shared" si="6"/>
        <v>0</v>
      </c>
      <c r="J75" s="253">
        <v>0</v>
      </c>
      <c r="K75" s="253">
        <v>0</v>
      </c>
      <c r="L75" s="253">
        <v>0</v>
      </c>
      <c r="M75" s="253">
        <v>0</v>
      </c>
      <c r="N75" s="253">
        <v>0</v>
      </c>
      <c r="O75" s="159">
        <v>0</v>
      </c>
      <c r="P75" s="159">
        <v>0</v>
      </c>
      <c r="Q75" s="159">
        <v>0</v>
      </c>
      <c r="R75" s="159">
        <v>0</v>
      </c>
      <c r="S75" s="159">
        <v>0</v>
      </c>
      <c r="T75" s="159">
        <v>0</v>
      </c>
      <c r="U75" s="159">
        <v>0</v>
      </c>
      <c r="V75" s="159">
        <v>0</v>
      </c>
      <c r="W75" s="159">
        <v>0</v>
      </c>
      <c r="X75" s="159">
        <v>0</v>
      </c>
      <c r="Y75" s="159">
        <v>0</v>
      </c>
      <c r="Z75" s="159">
        <v>0</v>
      </c>
      <c r="AA75" s="159">
        <v>0</v>
      </c>
      <c r="AB75" s="159">
        <v>0</v>
      </c>
      <c r="AC75" s="159">
        <v>0</v>
      </c>
      <c r="AD75" s="159">
        <v>0</v>
      </c>
      <c r="AE75" s="159">
        <v>0</v>
      </c>
      <c r="AF75" s="159">
        <v>0</v>
      </c>
      <c r="AG75" s="159">
        <v>0</v>
      </c>
      <c r="AH75" s="159">
        <v>0</v>
      </c>
      <c r="AI75" s="159">
        <v>0</v>
      </c>
      <c r="AJ75" s="159">
        <v>0</v>
      </c>
      <c r="AK75" s="159">
        <v>0</v>
      </c>
      <c r="AL75" s="159">
        <v>0</v>
      </c>
      <c r="AM75" s="159">
        <v>0</v>
      </c>
      <c r="AN75" s="159">
        <v>0</v>
      </c>
      <c r="AO75" s="159">
        <v>0</v>
      </c>
      <c r="AP75" s="159">
        <v>0</v>
      </c>
      <c r="AQ75" s="159">
        <v>0</v>
      </c>
      <c r="AR75" s="159">
        <v>0</v>
      </c>
      <c r="AS75" s="159">
        <v>0</v>
      </c>
      <c r="AT75" s="159">
        <v>0</v>
      </c>
      <c r="AU75" s="159">
        <v>0</v>
      </c>
      <c r="AV75" s="159">
        <v>0</v>
      </c>
      <c r="AW75" s="159">
        <v>0</v>
      </c>
      <c r="AX75" s="159">
        <v>0</v>
      </c>
      <c r="AY75" s="159">
        <v>0</v>
      </c>
      <c r="AZ75" s="159">
        <v>0</v>
      </c>
      <c r="BA75" s="159">
        <v>0</v>
      </c>
      <c r="BB75" s="159">
        <v>0</v>
      </c>
      <c r="BC75" s="159">
        <f t="shared" si="7"/>
        <v>0</v>
      </c>
      <c r="BD75" s="159">
        <f t="shared" si="8"/>
        <v>0</v>
      </c>
      <c r="BE75" s="159">
        <f t="shared" si="9"/>
        <v>0</v>
      </c>
      <c r="BF75" s="159">
        <f t="shared" si="10"/>
        <v>0</v>
      </c>
      <c r="BG75" s="159">
        <f t="shared" si="11"/>
        <v>0</v>
      </c>
      <c r="BH75" s="66"/>
    </row>
    <row r="76" spans="1:60" s="65" customFormat="1" ht="47.25">
      <c r="A76" s="146" t="s">
        <v>436</v>
      </c>
      <c r="B76" s="144" t="s">
        <v>928</v>
      </c>
      <c r="C76" s="125" t="s">
        <v>876</v>
      </c>
      <c r="D76" s="163" t="s">
        <v>876</v>
      </c>
      <c r="E76" s="253">
        <f t="shared" si="2"/>
        <v>0</v>
      </c>
      <c r="F76" s="253">
        <f t="shared" si="3"/>
        <v>0</v>
      </c>
      <c r="G76" s="253">
        <f t="shared" si="4"/>
        <v>0</v>
      </c>
      <c r="H76" s="253">
        <f t="shared" si="5"/>
        <v>0</v>
      </c>
      <c r="I76" s="253">
        <f t="shared" si="6"/>
        <v>0</v>
      </c>
      <c r="J76" s="253">
        <v>0</v>
      </c>
      <c r="K76" s="253">
        <v>0</v>
      </c>
      <c r="L76" s="253">
        <v>0</v>
      </c>
      <c r="M76" s="253">
        <v>0</v>
      </c>
      <c r="N76" s="253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59">
        <v>0</v>
      </c>
      <c r="W76" s="159">
        <v>0</v>
      </c>
      <c r="X76" s="159">
        <v>0</v>
      </c>
      <c r="Y76" s="159">
        <v>0</v>
      </c>
      <c r="Z76" s="159">
        <v>0</v>
      </c>
      <c r="AA76" s="159">
        <v>0</v>
      </c>
      <c r="AB76" s="159">
        <v>0</v>
      </c>
      <c r="AC76" s="159">
        <v>0</v>
      </c>
      <c r="AD76" s="159">
        <v>0</v>
      </c>
      <c r="AE76" s="159">
        <v>0</v>
      </c>
      <c r="AF76" s="159">
        <v>0</v>
      </c>
      <c r="AG76" s="159">
        <v>0</v>
      </c>
      <c r="AH76" s="159">
        <v>0</v>
      </c>
      <c r="AI76" s="159">
        <v>0</v>
      </c>
      <c r="AJ76" s="159">
        <v>0</v>
      </c>
      <c r="AK76" s="159">
        <v>0</v>
      </c>
      <c r="AL76" s="159">
        <v>0</v>
      </c>
      <c r="AM76" s="159">
        <v>0</v>
      </c>
      <c r="AN76" s="159">
        <v>0</v>
      </c>
      <c r="AO76" s="159">
        <v>0</v>
      </c>
      <c r="AP76" s="159">
        <v>0</v>
      </c>
      <c r="AQ76" s="159">
        <v>0</v>
      </c>
      <c r="AR76" s="159">
        <v>0</v>
      </c>
      <c r="AS76" s="159">
        <v>0</v>
      </c>
      <c r="AT76" s="159">
        <v>0</v>
      </c>
      <c r="AU76" s="159">
        <v>0</v>
      </c>
      <c r="AV76" s="159">
        <v>0</v>
      </c>
      <c r="AW76" s="159">
        <v>0</v>
      </c>
      <c r="AX76" s="159">
        <v>0</v>
      </c>
      <c r="AY76" s="159">
        <v>0</v>
      </c>
      <c r="AZ76" s="159">
        <v>0</v>
      </c>
      <c r="BA76" s="159">
        <v>0</v>
      </c>
      <c r="BB76" s="159">
        <v>0</v>
      </c>
      <c r="BC76" s="159">
        <f t="shared" si="7"/>
        <v>0</v>
      </c>
      <c r="BD76" s="159">
        <f t="shared" si="8"/>
        <v>0</v>
      </c>
      <c r="BE76" s="159">
        <f t="shared" si="9"/>
        <v>0</v>
      </c>
      <c r="BF76" s="159">
        <f t="shared" si="10"/>
        <v>0</v>
      </c>
      <c r="BG76" s="159">
        <f t="shared" si="11"/>
        <v>0</v>
      </c>
      <c r="BH76" s="66"/>
    </row>
    <row r="77" spans="1:60" s="65" customFormat="1" ht="47.25">
      <c r="A77" s="146" t="s">
        <v>440</v>
      </c>
      <c r="B77" s="144" t="s">
        <v>929</v>
      </c>
      <c r="C77" s="125" t="s">
        <v>876</v>
      </c>
      <c r="D77" s="163" t="s">
        <v>876</v>
      </c>
      <c r="E77" s="253">
        <f t="shared" si="2"/>
        <v>0</v>
      </c>
      <c r="F77" s="253">
        <f t="shared" si="3"/>
        <v>0</v>
      </c>
      <c r="G77" s="253">
        <f t="shared" si="4"/>
        <v>0</v>
      </c>
      <c r="H77" s="253">
        <f t="shared" si="5"/>
        <v>0</v>
      </c>
      <c r="I77" s="253">
        <f t="shared" si="6"/>
        <v>0</v>
      </c>
      <c r="J77" s="253">
        <v>0</v>
      </c>
      <c r="K77" s="253">
        <v>0</v>
      </c>
      <c r="L77" s="253">
        <v>0</v>
      </c>
      <c r="M77" s="253">
        <v>0</v>
      </c>
      <c r="N77" s="253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59">
        <v>0</v>
      </c>
      <c r="W77" s="159">
        <v>0</v>
      </c>
      <c r="X77" s="159">
        <v>0</v>
      </c>
      <c r="Y77" s="159">
        <v>0</v>
      </c>
      <c r="Z77" s="159">
        <v>0</v>
      </c>
      <c r="AA77" s="159">
        <v>0</v>
      </c>
      <c r="AB77" s="159">
        <v>0</v>
      </c>
      <c r="AC77" s="159">
        <v>0</v>
      </c>
      <c r="AD77" s="159">
        <v>0</v>
      </c>
      <c r="AE77" s="159">
        <v>0</v>
      </c>
      <c r="AF77" s="159">
        <v>0</v>
      </c>
      <c r="AG77" s="159">
        <v>0</v>
      </c>
      <c r="AH77" s="159">
        <v>0</v>
      </c>
      <c r="AI77" s="159">
        <v>0</v>
      </c>
      <c r="AJ77" s="159">
        <v>0</v>
      </c>
      <c r="AK77" s="159">
        <v>0</v>
      </c>
      <c r="AL77" s="159">
        <v>0</v>
      </c>
      <c r="AM77" s="159">
        <v>0</v>
      </c>
      <c r="AN77" s="159">
        <v>0</v>
      </c>
      <c r="AO77" s="159">
        <v>0</v>
      </c>
      <c r="AP77" s="159">
        <v>0</v>
      </c>
      <c r="AQ77" s="159">
        <v>0</v>
      </c>
      <c r="AR77" s="159">
        <v>0</v>
      </c>
      <c r="AS77" s="159">
        <v>0</v>
      </c>
      <c r="AT77" s="159">
        <v>0</v>
      </c>
      <c r="AU77" s="159">
        <v>0</v>
      </c>
      <c r="AV77" s="159">
        <v>0</v>
      </c>
      <c r="AW77" s="159">
        <v>0</v>
      </c>
      <c r="AX77" s="159">
        <v>0</v>
      </c>
      <c r="AY77" s="159">
        <v>0</v>
      </c>
      <c r="AZ77" s="159">
        <v>0</v>
      </c>
      <c r="BA77" s="159">
        <v>0</v>
      </c>
      <c r="BB77" s="159">
        <v>0</v>
      </c>
      <c r="BC77" s="159">
        <f t="shared" ref="BC77:BC101" si="18">E77-AD77</f>
        <v>0</v>
      </c>
      <c r="BD77" s="159">
        <f t="shared" ref="BD77:BD101" si="19">F77-AE77</f>
        <v>0</v>
      </c>
      <c r="BE77" s="159">
        <f t="shared" ref="BE77:BE101" si="20">G77-AF77</f>
        <v>0</v>
      </c>
      <c r="BF77" s="159">
        <f t="shared" ref="BF77:BF101" si="21">H77-AG77</f>
        <v>0</v>
      </c>
      <c r="BG77" s="159">
        <f t="shared" ref="BG77:BG101" si="22">I77-AH77</f>
        <v>0</v>
      </c>
      <c r="BH77" s="66"/>
    </row>
    <row r="78" spans="1:60" s="65" customFormat="1" ht="47.25">
      <c r="A78" s="146" t="s">
        <v>441</v>
      </c>
      <c r="B78" s="144" t="s">
        <v>930</v>
      </c>
      <c r="C78" s="125" t="s">
        <v>876</v>
      </c>
      <c r="D78" s="163" t="s">
        <v>876</v>
      </c>
      <c r="E78" s="253">
        <f t="shared" si="2"/>
        <v>0</v>
      </c>
      <c r="F78" s="253">
        <f t="shared" si="3"/>
        <v>0</v>
      </c>
      <c r="G78" s="253">
        <f t="shared" si="4"/>
        <v>0</v>
      </c>
      <c r="H78" s="253">
        <f t="shared" si="5"/>
        <v>0</v>
      </c>
      <c r="I78" s="253">
        <f t="shared" si="6"/>
        <v>0</v>
      </c>
      <c r="J78" s="253">
        <v>0</v>
      </c>
      <c r="K78" s="253">
        <v>0</v>
      </c>
      <c r="L78" s="253">
        <v>0</v>
      </c>
      <c r="M78" s="253">
        <v>0</v>
      </c>
      <c r="N78" s="253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59">
        <v>0</v>
      </c>
      <c r="W78" s="159">
        <v>0</v>
      </c>
      <c r="X78" s="159">
        <v>0</v>
      </c>
      <c r="Y78" s="159">
        <v>0</v>
      </c>
      <c r="Z78" s="159">
        <v>0</v>
      </c>
      <c r="AA78" s="159">
        <v>0</v>
      </c>
      <c r="AB78" s="159">
        <v>0</v>
      </c>
      <c r="AC78" s="159">
        <v>0</v>
      </c>
      <c r="AD78" s="159">
        <v>0</v>
      </c>
      <c r="AE78" s="159">
        <v>0</v>
      </c>
      <c r="AF78" s="159">
        <v>0</v>
      </c>
      <c r="AG78" s="159">
        <v>0</v>
      </c>
      <c r="AH78" s="159">
        <v>0</v>
      </c>
      <c r="AI78" s="159">
        <v>0</v>
      </c>
      <c r="AJ78" s="159">
        <v>0</v>
      </c>
      <c r="AK78" s="159">
        <v>0</v>
      </c>
      <c r="AL78" s="159">
        <v>0</v>
      </c>
      <c r="AM78" s="159">
        <v>0</v>
      </c>
      <c r="AN78" s="159">
        <v>0</v>
      </c>
      <c r="AO78" s="159">
        <v>0</v>
      </c>
      <c r="AP78" s="159">
        <v>0</v>
      </c>
      <c r="AQ78" s="159">
        <v>0</v>
      </c>
      <c r="AR78" s="159">
        <v>0</v>
      </c>
      <c r="AS78" s="159">
        <v>0</v>
      </c>
      <c r="AT78" s="159">
        <v>0</v>
      </c>
      <c r="AU78" s="159">
        <v>0</v>
      </c>
      <c r="AV78" s="159">
        <v>0</v>
      </c>
      <c r="AW78" s="159">
        <v>0</v>
      </c>
      <c r="AX78" s="159">
        <v>0</v>
      </c>
      <c r="AY78" s="159">
        <v>0</v>
      </c>
      <c r="AZ78" s="159">
        <v>0</v>
      </c>
      <c r="BA78" s="159">
        <v>0</v>
      </c>
      <c r="BB78" s="159">
        <v>0</v>
      </c>
      <c r="BC78" s="159">
        <f t="shared" si="18"/>
        <v>0</v>
      </c>
      <c r="BD78" s="159">
        <f t="shared" si="19"/>
        <v>0</v>
      </c>
      <c r="BE78" s="159">
        <f t="shared" si="20"/>
        <v>0</v>
      </c>
      <c r="BF78" s="159">
        <f t="shared" si="21"/>
        <v>0</v>
      </c>
      <c r="BG78" s="159">
        <f t="shared" si="22"/>
        <v>0</v>
      </c>
      <c r="BH78" s="66"/>
    </row>
    <row r="79" spans="1:60" s="65" customFormat="1" ht="47.25">
      <c r="A79" s="146" t="s">
        <v>442</v>
      </c>
      <c r="B79" s="144" t="s">
        <v>931</v>
      </c>
      <c r="C79" s="125" t="s">
        <v>876</v>
      </c>
      <c r="D79" s="163" t="s">
        <v>876</v>
      </c>
      <c r="E79" s="253">
        <f t="shared" si="2"/>
        <v>0</v>
      </c>
      <c r="F79" s="253">
        <f t="shared" si="3"/>
        <v>0</v>
      </c>
      <c r="G79" s="253">
        <f t="shared" si="4"/>
        <v>0</v>
      </c>
      <c r="H79" s="253">
        <f t="shared" si="5"/>
        <v>0</v>
      </c>
      <c r="I79" s="253">
        <f t="shared" si="6"/>
        <v>0</v>
      </c>
      <c r="J79" s="253">
        <v>0</v>
      </c>
      <c r="K79" s="253">
        <v>0</v>
      </c>
      <c r="L79" s="253">
        <v>0</v>
      </c>
      <c r="M79" s="253">
        <v>0</v>
      </c>
      <c r="N79" s="253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59">
        <v>0</v>
      </c>
      <c r="W79" s="159">
        <v>0</v>
      </c>
      <c r="X79" s="159">
        <v>0</v>
      </c>
      <c r="Y79" s="159">
        <v>0</v>
      </c>
      <c r="Z79" s="159">
        <v>0</v>
      </c>
      <c r="AA79" s="159">
        <v>0</v>
      </c>
      <c r="AB79" s="159">
        <v>0</v>
      </c>
      <c r="AC79" s="159">
        <v>0</v>
      </c>
      <c r="AD79" s="159">
        <v>0</v>
      </c>
      <c r="AE79" s="159">
        <v>0</v>
      </c>
      <c r="AF79" s="159">
        <v>0</v>
      </c>
      <c r="AG79" s="159">
        <v>0</v>
      </c>
      <c r="AH79" s="159">
        <v>0</v>
      </c>
      <c r="AI79" s="159">
        <v>0</v>
      </c>
      <c r="AJ79" s="159">
        <v>0</v>
      </c>
      <c r="AK79" s="159">
        <v>0</v>
      </c>
      <c r="AL79" s="159">
        <v>0</v>
      </c>
      <c r="AM79" s="159">
        <v>0</v>
      </c>
      <c r="AN79" s="159">
        <v>0</v>
      </c>
      <c r="AO79" s="159">
        <v>0</v>
      </c>
      <c r="AP79" s="159">
        <v>0</v>
      </c>
      <c r="AQ79" s="159">
        <v>0</v>
      </c>
      <c r="AR79" s="159">
        <v>0</v>
      </c>
      <c r="AS79" s="159">
        <v>0</v>
      </c>
      <c r="AT79" s="159">
        <v>0</v>
      </c>
      <c r="AU79" s="159">
        <v>0</v>
      </c>
      <c r="AV79" s="159">
        <v>0</v>
      </c>
      <c r="AW79" s="159">
        <v>0</v>
      </c>
      <c r="AX79" s="159">
        <v>0</v>
      </c>
      <c r="AY79" s="159">
        <v>0</v>
      </c>
      <c r="AZ79" s="159">
        <v>0</v>
      </c>
      <c r="BA79" s="159">
        <v>0</v>
      </c>
      <c r="BB79" s="159">
        <v>0</v>
      </c>
      <c r="BC79" s="159">
        <f t="shared" si="18"/>
        <v>0</v>
      </c>
      <c r="BD79" s="159">
        <f t="shared" si="19"/>
        <v>0</v>
      </c>
      <c r="BE79" s="159">
        <f t="shared" si="20"/>
        <v>0</v>
      </c>
      <c r="BF79" s="159">
        <f t="shared" si="21"/>
        <v>0</v>
      </c>
      <c r="BG79" s="159">
        <f t="shared" si="22"/>
        <v>0</v>
      </c>
      <c r="BH79" s="66"/>
    </row>
    <row r="80" spans="1:60" s="65" customFormat="1" ht="78.75">
      <c r="A80" s="146" t="s">
        <v>443</v>
      </c>
      <c r="B80" s="144" t="s">
        <v>932</v>
      </c>
      <c r="C80" s="125" t="s">
        <v>876</v>
      </c>
      <c r="D80" s="163" t="s">
        <v>876</v>
      </c>
      <c r="E80" s="253">
        <f t="shared" si="2"/>
        <v>0</v>
      </c>
      <c r="F80" s="253">
        <f t="shared" si="3"/>
        <v>0</v>
      </c>
      <c r="G80" s="253">
        <f t="shared" si="4"/>
        <v>0</v>
      </c>
      <c r="H80" s="253">
        <f t="shared" si="5"/>
        <v>0</v>
      </c>
      <c r="I80" s="253">
        <f t="shared" si="6"/>
        <v>0</v>
      </c>
      <c r="J80" s="253">
        <v>0</v>
      </c>
      <c r="K80" s="253">
        <v>0</v>
      </c>
      <c r="L80" s="253">
        <v>0</v>
      </c>
      <c r="M80" s="253">
        <v>0</v>
      </c>
      <c r="N80" s="253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59">
        <v>0</v>
      </c>
      <c r="W80" s="159">
        <v>0</v>
      </c>
      <c r="X80" s="159">
        <v>0</v>
      </c>
      <c r="Y80" s="159">
        <v>0</v>
      </c>
      <c r="Z80" s="159">
        <v>0</v>
      </c>
      <c r="AA80" s="159">
        <v>0</v>
      </c>
      <c r="AB80" s="159">
        <v>0</v>
      </c>
      <c r="AC80" s="159">
        <v>0</v>
      </c>
      <c r="AD80" s="159">
        <v>0</v>
      </c>
      <c r="AE80" s="159">
        <v>0</v>
      </c>
      <c r="AF80" s="159">
        <v>0</v>
      </c>
      <c r="AG80" s="159">
        <v>0</v>
      </c>
      <c r="AH80" s="159">
        <v>0</v>
      </c>
      <c r="AI80" s="159">
        <v>0</v>
      </c>
      <c r="AJ80" s="159">
        <v>0</v>
      </c>
      <c r="AK80" s="159">
        <v>0</v>
      </c>
      <c r="AL80" s="159">
        <v>0</v>
      </c>
      <c r="AM80" s="159">
        <v>0</v>
      </c>
      <c r="AN80" s="159">
        <v>0</v>
      </c>
      <c r="AO80" s="159">
        <v>0</v>
      </c>
      <c r="AP80" s="159">
        <v>0</v>
      </c>
      <c r="AQ80" s="159">
        <v>0</v>
      </c>
      <c r="AR80" s="159">
        <v>0</v>
      </c>
      <c r="AS80" s="159">
        <v>0</v>
      </c>
      <c r="AT80" s="159">
        <v>0</v>
      </c>
      <c r="AU80" s="159">
        <v>0</v>
      </c>
      <c r="AV80" s="159">
        <v>0</v>
      </c>
      <c r="AW80" s="159">
        <v>0</v>
      </c>
      <c r="AX80" s="159">
        <v>0</v>
      </c>
      <c r="AY80" s="159">
        <v>0</v>
      </c>
      <c r="AZ80" s="159">
        <v>0</v>
      </c>
      <c r="BA80" s="159">
        <v>0</v>
      </c>
      <c r="BB80" s="159">
        <v>0</v>
      </c>
      <c r="BC80" s="159">
        <f t="shared" si="18"/>
        <v>0</v>
      </c>
      <c r="BD80" s="159">
        <f t="shared" si="19"/>
        <v>0</v>
      </c>
      <c r="BE80" s="159">
        <f t="shared" si="20"/>
        <v>0</v>
      </c>
      <c r="BF80" s="159">
        <f t="shared" si="21"/>
        <v>0</v>
      </c>
      <c r="BG80" s="159">
        <f t="shared" si="22"/>
        <v>0</v>
      </c>
      <c r="BH80" s="66"/>
    </row>
    <row r="81" spans="1:60" s="65" customFormat="1" ht="63">
      <c r="A81" s="146" t="s">
        <v>444</v>
      </c>
      <c r="B81" s="144" t="s">
        <v>933</v>
      </c>
      <c r="C81" s="125" t="s">
        <v>876</v>
      </c>
      <c r="D81" s="163" t="s">
        <v>876</v>
      </c>
      <c r="E81" s="253">
        <f t="shared" si="2"/>
        <v>0</v>
      </c>
      <c r="F81" s="253">
        <f t="shared" si="3"/>
        <v>0</v>
      </c>
      <c r="G81" s="253">
        <f t="shared" si="4"/>
        <v>0</v>
      </c>
      <c r="H81" s="253">
        <f t="shared" si="5"/>
        <v>0</v>
      </c>
      <c r="I81" s="253">
        <f t="shared" si="6"/>
        <v>0</v>
      </c>
      <c r="J81" s="253">
        <v>0</v>
      </c>
      <c r="K81" s="253">
        <v>0</v>
      </c>
      <c r="L81" s="253">
        <v>0</v>
      </c>
      <c r="M81" s="253">
        <v>0</v>
      </c>
      <c r="N81" s="253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0</v>
      </c>
      <c r="AB81" s="159">
        <v>0</v>
      </c>
      <c r="AC81" s="159">
        <v>0</v>
      </c>
      <c r="AD81" s="159">
        <v>0</v>
      </c>
      <c r="AE81" s="159">
        <v>0</v>
      </c>
      <c r="AF81" s="159">
        <v>0</v>
      </c>
      <c r="AG81" s="159">
        <v>0</v>
      </c>
      <c r="AH81" s="159">
        <v>0</v>
      </c>
      <c r="AI81" s="159">
        <v>0</v>
      </c>
      <c r="AJ81" s="159">
        <v>0</v>
      </c>
      <c r="AK81" s="159">
        <v>0</v>
      </c>
      <c r="AL81" s="159">
        <v>0</v>
      </c>
      <c r="AM81" s="159">
        <v>0</v>
      </c>
      <c r="AN81" s="159">
        <v>0</v>
      </c>
      <c r="AO81" s="159">
        <v>0</v>
      </c>
      <c r="AP81" s="159">
        <v>0</v>
      </c>
      <c r="AQ81" s="159">
        <v>0</v>
      </c>
      <c r="AR81" s="159">
        <v>0</v>
      </c>
      <c r="AS81" s="159">
        <v>0</v>
      </c>
      <c r="AT81" s="159">
        <v>0</v>
      </c>
      <c r="AU81" s="159">
        <v>0</v>
      </c>
      <c r="AV81" s="159">
        <v>0</v>
      </c>
      <c r="AW81" s="159">
        <v>0</v>
      </c>
      <c r="AX81" s="159">
        <v>0</v>
      </c>
      <c r="AY81" s="159">
        <v>0</v>
      </c>
      <c r="AZ81" s="159">
        <v>0</v>
      </c>
      <c r="BA81" s="159">
        <v>0</v>
      </c>
      <c r="BB81" s="159">
        <v>0</v>
      </c>
      <c r="BC81" s="159">
        <f t="shared" si="18"/>
        <v>0</v>
      </c>
      <c r="BD81" s="159">
        <f t="shared" si="19"/>
        <v>0</v>
      </c>
      <c r="BE81" s="159">
        <f t="shared" si="20"/>
        <v>0</v>
      </c>
      <c r="BF81" s="159">
        <f t="shared" si="21"/>
        <v>0</v>
      </c>
      <c r="BG81" s="159">
        <f t="shared" si="22"/>
        <v>0</v>
      </c>
      <c r="BH81" s="66"/>
    </row>
    <row r="82" spans="1:60" s="65" customFormat="1" ht="63">
      <c r="A82" s="146" t="s">
        <v>445</v>
      </c>
      <c r="B82" s="144" t="s">
        <v>934</v>
      </c>
      <c r="C82" s="125" t="s">
        <v>876</v>
      </c>
      <c r="D82" s="163" t="s">
        <v>876</v>
      </c>
      <c r="E82" s="253">
        <f t="shared" si="2"/>
        <v>0</v>
      </c>
      <c r="F82" s="253">
        <f t="shared" si="3"/>
        <v>0</v>
      </c>
      <c r="G82" s="253">
        <f t="shared" si="4"/>
        <v>0</v>
      </c>
      <c r="H82" s="253">
        <f t="shared" si="5"/>
        <v>0</v>
      </c>
      <c r="I82" s="253">
        <f t="shared" si="6"/>
        <v>0</v>
      </c>
      <c r="J82" s="253">
        <v>0</v>
      </c>
      <c r="K82" s="253">
        <v>0</v>
      </c>
      <c r="L82" s="253">
        <v>0</v>
      </c>
      <c r="M82" s="253">
        <v>0</v>
      </c>
      <c r="N82" s="253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0</v>
      </c>
      <c r="T82" s="159">
        <v>0</v>
      </c>
      <c r="U82" s="159">
        <v>0</v>
      </c>
      <c r="V82" s="159">
        <v>0</v>
      </c>
      <c r="W82" s="159">
        <v>0</v>
      </c>
      <c r="X82" s="159">
        <v>0</v>
      </c>
      <c r="Y82" s="159">
        <v>0</v>
      </c>
      <c r="Z82" s="159">
        <v>0</v>
      </c>
      <c r="AA82" s="159">
        <v>0</v>
      </c>
      <c r="AB82" s="159">
        <v>0</v>
      </c>
      <c r="AC82" s="159">
        <v>0</v>
      </c>
      <c r="AD82" s="159">
        <v>0</v>
      </c>
      <c r="AE82" s="159">
        <v>0</v>
      </c>
      <c r="AF82" s="159">
        <v>0</v>
      </c>
      <c r="AG82" s="159">
        <v>0</v>
      </c>
      <c r="AH82" s="159">
        <v>0</v>
      </c>
      <c r="AI82" s="159">
        <v>0</v>
      </c>
      <c r="AJ82" s="159">
        <v>0</v>
      </c>
      <c r="AK82" s="159">
        <v>0</v>
      </c>
      <c r="AL82" s="159">
        <v>0</v>
      </c>
      <c r="AM82" s="159">
        <v>0</v>
      </c>
      <c r="AN82" s="159">
        <v>0</v>
      </c>
      <c r="AO82" s="159">
        <v>0</v>
      </c>
      <c r="AP82" s="159">
        <v>0</v>
      </c>
      <c r="AQ82" s="159">
        <v>0</v>
      </c>
      <c r="AR82" s="159">
        <v>0</v>
      </c>
      <c r="AS82" s="159">
        <v>0</v>
      </c>
      <c r="AT82" s="159">
        <v>0</v>
      </c>
      <c r="AU82" s="159">
        <v>0</v>
      </c>
      <c r="AV82" s="159">
        <v>0</v>
      </c>
      <c r="AW82" s="159">
        <v>0</v>
      </c>
      <c r="AX82" s="159">
        <v>0</v>
      </c>
      <c r="AY82" s="159">
        <v>0</v>
      </c>
      <c r="AZ82" s="159">
        <v>0</v>
      </c>
      <c r="BA82" s="159">
        <v>0</v>
      </c>
      <c r="BB82" s="159">
        <v>0</v>
      </c>
      <c r="BC82" s="159">
        <f t="shared" si="18"/>
        <v>0</v>
      </c>
      <c r="BD82" s="159">
        <f t="shared" si="19"/>
        <v>0</v>
      </c>
      <c r="BE82" s="159">
        <f t="shared" si="20"/>
        <v>0</v>
      </c>
      <c r="BF82" s="159">
        <f t="shared" si="21"/>
        <v>0</v>
      </c>
      <c r="BG82" s="159">
        <f t="shared" si="22"/>
        <v>0</v>
      </c>
      <c r="BH82" s="66"/>
    </row>
    <row r="83" spans="1:60" s="65" customFormat="1" ht="78.75">
      <c r="A83" s="146" t="s">
        <v>935</v>
      </c>
      <c r="B83" s="144" t="s">
        <v>936</v>
      </c>
      <c r="C83" s="125" t="s">
        <v>876</v>
      </c>
      <c r="D83" s="163" t="s">
        <v>876</v>
      </c>
      <c r="E83" s="253">
        <f t="shared" si="2"/>
        <v>0</v>
      </c>
      <c r="F83" s="253">
        <f t="shared" si="3"/>
        <v>0</v>
      </c>
      <c r="G83" s="253">
        <f t="shared" si="4"/>
        <v>0</v>
      </c>
      <c r="H83" s="253">
        <f t="shared" si="5"/>
        <v>0</v>
      </c>
      <c r="I83" s="253">
        <f t="shared" si="6"/>
        <v>0</v>
      </c>
      <c r="J83" s="253">
        <v>0</v>
      </c>
      <c r="K83" s="253">
        <v>0</v>
      </c>
      <c r="L83" s="253">
        <v>0</v>
      </c>
      <c r="M83" s="253">
        <v>0</v>
      </c>
      <c r="N83" s="253">
        <v>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59">
        <v>0</v>
      </c>
      <c r="U83" s="159">
        <v>0</v>
      </c>
      <c r="V83" s="159">
        <v>0</v>
      </c>
      <c r="W83" s="159">
        <v>0</v>
      </c>
      <c r="X83" s="159">
        <v>0</v>
      </c>
      <c r="Y83" s="159">
        <v>0</v>
      </c>
      <c r="Z83" s="159">
        <v>0</v>
      </c>
      <c r="AA83" s="159">
        <v>0</v>
      </c>
      <c r="AB83" s="159">
        <v>0</v>
      </c>
      <c r="AC83" s="159">
        <v>0</v>
      </c>
      <c r="AD83" s="159">
        <v>0</v>
      </c>
      <c r="AE83" s="159">
        <v>0</v>
      </c>
      <c r="AF83" s="159">
        <v>0</v>
      </c>
      <c r="AG83" s="159">
        <v>0</v>
      </c>
      <c r="AH83" s="159">
        <v>0</v>
      </c>
      <c r="AI83" s="159">
        <v>0</v>
      </c>
      <c r="AJ83" s="159">
        <v>0</v>
      </c>
      <c r="AK83" s="159">
        <v>0</v>
      </c>
      <c r="AL83" s="159">
        <v>0</v>
      </c>
      <c r="AM83" s="159">
        <v>0</v>
      </c>
      <c r="AN83" s="159">
        <v>0</v>
      </c>
      <c r="AO83" s="159">
        <v>0</v>
      </c>
      <c r="AP83" s="159">
        <v>0</v>
      </c>
      <c r="AQ83" s="159">
        <v>0</v>
      </c>
      <c r="AR83" s="159">
        <v>0</v>
      </c>
      <c r="AS83" s="159">
        <v>0</v>
      </c>
      <c r="AT83" s="159">
        <v>0</v>
      </c>
      <c r="AU83" s="159">
        <v>0</v>
      </c>
      <c r="AV83" s="159">
        <v>0</v>
      </c>
      <c r="AW83" s="159">
        <v>0</v>
      </c>
      <c r="AX83" s="159">
        <v>0</v>
      </c>
      <c r="AY83" s="159">
        <v>0</v>
      </c>
      <c r="AZ83" s="159">
        <v>0</v>
      </c>
      <c r="BA83" s="159">
        <v>0</v>
      </c>
      <c r="BB83" s="159">
        <v>0</v>
      </c>
      <c r="BC83" s="159">
        <f t="shared" si="18"/>
        <v>0</v>
      </c>
      <c r="BD83" s="159">
        <f t="shared" si="19"/>
        <v>0</v>
      </c>
      <c r="BE83" s="159">
        <f t="shared" si="20"/>
        <v>0</v>
      </c>
      <c r="BF83" s="159">
        <f t="shared" si="21"/>
        <v>0</v>
      </c>
      <c r="BG83" s="159">
        <f t="shared" si="22"/>
        <v>0</v>
      </c>
      <c r="BH83" s="66"/>
    </row>
    <row r="84" spans="1:60" s="65" customFormat="1" ht="78.75">
      <c r="A84" s="118" t="s">
        <v>937</v>
      </c>
      <c r="B84" s="144" t="s">
        <v>938</v>
      </c>
      <c r="C84" s="125" t="s">
        <v>876</v>
      </c>
      <c r="D84" s="163" t="s">
        <v>876</v>
      </c>
      <c r="E84" s="253">
        <f t="shared" si="2"/>
        <v>0</v>
      </c>
      <c r="F84" s="253">
        <f t="shared" si="3"/>
        <v>0</v>
      </c>
      <c r="G84" s="253">
        <f t="shared" si="4"/>
        <v>0</v>
      </c>
      <c r="H84" s="253">
        <f t="shared" si="5"/>
        <v>0</v>
      </c>
      <c r="I84" s="253">
        <f t="shared" si="6"/>
        <v>0</v>
      </c>
      <c r="J84" s="253">
        <v>0</v>
      </c>
      <c r="K84" s="253">
        <v>0</v>
      </c>
      <c r="L84" s="253">
        <v>0</v>
      </c>
      <c r="M84" s="253">
        <v>0</v>
      </c>
      <c r="N84" s="253">
        <v>0</v>
      </c>
      <c r="O84" s="159">
        <v>0</v>
      </c>
      <c r="P84" s="159">
        <v>0</v>
      </c>
      <c r="Q84" s="159">
        <v>0</v>
      </c>
      <c r="R84" s="159">
        <v>0</v>
      </c>
      <c r="S84" s="159">
        <v>0</v>
      </c>
      <c r="T84" s="159">
        <v>0</v>
      </c>
      <c r="U84" s="159">
        <v>0</v>
      </c>
      <c r="V84" s="159">
        <v>0</v>
      </c>
      <c r="W84" s="159">
        <v>0</v>
      </c>
      <c r="X84" s="159">
        <v>0</v>
      </c>
      <c r="Y84" s="159">
        <v>0</v>
      </c>
      <c r="Z84" s="159">
        <v>0</v>
      </c>
      <c r="AA84" s="159">
        <v>0</v>
      </c>
      <c r="AB84" s="159">
        <v>0</v>
      </c>
      <c r="AC84" s="159">
        <v>0</v>
      </c>
      <c r="AD84" s="159">
        <v>0</v>
      </c>
      <c r="AE84" s="159">
        <v>0</v>
      </c>
      <c r="AF84" s="159">
        <v>0</v>
      </c>
      <c r="AG84" s="159">
        <v>0</v>
      </c>
      <c r="AH84" s="159">
        <v>0</v>
      </c>
      <c r="AI84" s="159">
        <v>0</v>
      </c>
      <c r="AJ84" s="159">
        <v>0</v>
      </c>
      <c r="AK84" s="159">
        <v>0</v>
      </c>
      <c r="AL84" s="159">
        <v>0</v>
      </c>
      <c r="AM84" s="159">
        <v>0</v>
      </c>
      <c r="AN84" s="159">
        <v>0</v>
      </c>
      <c r="AO84" s="159">
        <v>0</v>
      </c>
      <c r="AP84" s="159">
        <v>0</v>
      </c>
      <c r="AQ84" s="159">
        <v>0</v>
      </c>
      <c r="AR84" s="159">
        <v>0</v>
      </c>
      <c r="AS84" s="159">
        <v>0</v>
      </c>
      <c r="AT84" s="159">
        <v>0</v>
      </c>
      <c r="AU84" s="159">
        <v>0</v>
      </c>
      <c r="AV84" s="159">
        <v>0</v>
      </c>
      <c r="AW84" s="159">
        <v>0</v>
      </c>
      <c r="AX84" s="159">
        <v>0</v>
      </c>
      <c r="AY84" s="159">
        <v>0</v>
      </c>
      <c r="AZ84" s="159">
        <v>0</v>
      </c>
      <c r="BA84" s="159">
        <v>0</v>
      </c>
      <c r="BB84" s="159">
        <v>0</v>
      </c>
      <c r="BC84" s="159">
        <f t="shared" si="18"/>
        <v>0</v>
      </c>
      <c r="BD84" s="159">
        <f t="shared" si="19"/>
        <v>0</v>
      </c>
      <c r="BE84" s="159">
        <f t="shared" si="20"/>
        <v>0</v>
      </c>
      <c r="BF84" s="159">
        <f t="shared" si="21"/>
        <v>0</v>
      </c>
      <c r="BG84" s="159">
        <f t="shared" si="22"/>
        <v>0</v>
      </c>
      <c r="BH84" s="66"/>
    </row>
    <row r="85" spans="1:60" s="65" customFormat="1" ht="47.25">
      <c r="A85" s="146" t="s">
        <v>939</v>
      </c>
      <c r="B85" s="144" t="s">
        <v>940</v>
      </c>
      <c r="C85" s="138" t="s">
        <v>876</v>
      </c>
      <c r="D85" s="163" t="s">
        <v>876</v>
      </c>
      <c r="E85" s="253">
        <f t="shared" si="2"/>
        <v>0</v>
      </c>
      <c r="F85" s="253">
        <f t="shared" si="3"/>
        <v>0</v>
      </c>
      <c r="G85" s="253">
        <f t="shared" si="4"/>
        <v>0</v>
      </c>
      <c r="H85" s="253">
        <f t="shared" si="5"/>
        <v>0</v>
      </c>
      <c r="I85" s="253">
        <f t="shared" si="6"/>
        <v>0</v>
      </c>
      <c r="J85" s="253">
        <v>0</v>
      </c>
      <c r="K85" s="253">
        <v>0</v>
      </c>
      <c r="L85" s="253">
        <v>0</v>
      </c>
      <c r="M85" s="253">
        <v>0</v>
      </c>
      <c r="N85" s="253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  <c r="T85" s="159">
        <v>0</v>
      </c>
      <c r="U85" s="159">
        <v>0</v>
      </c>
      <c r="V85" s="159">
        <v>0</v>
      </c>
      <c r="W85" s="159">
        <v>0</v>
      </c>
      <c r="X85" s="159">
        <v>0</v>
      </c>
      <c r="Y85" s="159">
        <v>0</v>
      </c>
      <c r="Z85" s="159">
        <v>0</v>
      </c>
      <c r="AA85" s="159">
        <v>0</v>
      </c>
      <c r="AB85" s="159">
        <v>0</v>
      </c>
      <c r="AC85" s="159">
        <v>0</v>
      </c>
      <c r="AD85" s="159">
        <v>0</v>
      </c>
      <c r="AE85" s="159">
        <v>0</v>
      </c>
      <c r="AF85" s="159">
        <v>0</v>
      </c>
      <c r="AG85" s="159">
        <v>0</v>
      </c>
      <c r="AH85" s="159">
        <v>0</v>
      </c>
      <c r="AI85" s="159">
        <v>0</v>
      </c>
      <c r="AJ85" s="159">
        <v>0</v>
      </c>
      <c r="AK85" s="159">
        <v>0</v>
      </c>
      <c r="AL85" s="159">
        <v>0</v>
      </c>
      <c r="AM85" s="159">
        <v>0</v>
      </c>
      <c r="AN85" s="159">
        <v>0</v>
      </c>
      <c r="AO85" s="159">
        <v>0</v>
      </c>
      <c r="AP85" s="159">
        <v>0</v>
      </c>
      <c r="AQ85" s="159">
        <v>0</v>
      </c>
      <c r="AR85" s="159">
        <v>0</v>
      </c>
      <c r="AS85" s="159">
        <v>0</v>
      </c>
      <c r="AT85" s="159">
        <v>0</v>
      </c>
      <c r="AU85" s="159">
        <v>0</v>
      </c>
      <c r="AV85" s="159">
        <v>0</v>
      </c>
      <c r="AW85" s="159">
        <v>0</v>
      </c>
      <c r="AX85" s="159">
        <v>0</v>
      </c>
      <c r="AY85" s="159">
        <v>0</v>
      </c>
      <c r="AZ85" s="159">
        <v>0</v>
      </c>
      <c r="BA85" s="159">
        <v>0</v>
      </c>
      <c r="BB85" s="159">
        <v>0</v>
      </c>
      <c r="BC85" s="159">
        <f t="shared" si="18"/>
        <v>0</v>
      </c>
      <c r="BD85" s="159">
        <f t="shared" si="19"/>
        <v>0</v>
      </c>
      <c r="BE85" s="159">
        <f t="shared" si="20"/>
        <v>0</v>
      </c>
      <c r="BF85" s="159">
        <f t="shared" si="21"/>
        <v>0</v>
      </c>
      <c r="BG85" s="159">
        <f t="shared" si="22"/>
        <v>0</v>
      </c>
      <c r="BH85" s="66"/>
    </row>
    <row r="86" spans="1:60" s="65" customFormat="1" ht="63">
      <c r="A86" s="146" t="s">
        <v>941</v>
      </c>
      <c r="B86" s="144" t="s">
        <v>942</v>
      </c>
      <c r="C86" s="125" t="s">
        <v>876</v>
      </c>
      <c r="D86" s="163" t="s">
        <v>876</v>
      </c>
      <c r="E86" s="253">
        <f t="shared" si="2"/>
        <v>0</v>
      </c>
      <c r="F86" s="253">
        <f t="shared" si="3"/>
        <v>0</v>
      </c>
      <c r="G86" s="253">
        <f t="shared" si="4"/>
        <v>0</v>
      </c>
      <c r="H86" s="253">
        <f t="shared" si="5"/>
        <v>0</v>
      </c>
      <c r="I86" s="253">
        <f t="shared" si="6"/>
        <v>0</v>
      </c>
      <c r="J86" s="253">
        <v>0</v>
      </c>
      <c r="K86" s="253">
        <v>0</v>
      </c>
      <c r="L86" s="253">
        <v>0</v>
      </c>
      <c r="M86" s="253">
        <v>0</v>
      </c>
      <c r="N86" s="253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59">
        <v>0</v>
      </c>
      <c r="U86" s="159">
        <v>0</v>
      </c>
      <c r="V86" s="159">
        <v>0</v>
      </c>
      <c r="W86" s="159">
        <v>0</v>
      </c>
      <c r="X86" s="159">
        <v>0</v>
      </c>
      <c r="Y86" s="159">
        <v>0</v>
      </c>
      <c r="Z86" s="159">
        <v>0</v>
      </c>
      <c r="AA86" s="159">
        <v>0</v>
      </c>
      <c r="AB86" s="159">
        <v>0</v>
      </c>
      <c r="AC86" s="159">
        <v>0</v>
      </c>
      <c r="AD86" s="159">
        <v>0</v>
      </c>
      <c r="AE86" s="159">
        <v>0</v>
      </c>
      <c r="AF86" s="159">
        <v>0</v>
      </c>
      <c r="AG86" s="159">
        <v>0</v>
      </c>
      <c r="AH86" s="159">
        <v>0</v>
      </c>
      <c r="AI86" s="159">
        <v>0</v>
      </c>
      <c r="AJ86" s="159">
        <v>0</v>
      </c>
      <c r="AK86" s="159">
        <v>0</v>
      </c>
      <c r="AL86" s="159">
        <v>0</v>
      </c>
      <c r="AM86" s="159">
        <v>0</v>
      </c>
      <c r="AN86" s="159">
        <v>0</v>
      </c>
      <c r="AO86" s="159">
        <v>0</v>
      </c>
      <c r="AP86" s="159">
        <v>0</v>
      </c>
      <c r="AQ86" s="159">
        <v>0</v>
      </c>
      <c r="AR86" s="159">
        <v>0</v>
      </c>
      <c r="AS86" s="159">
        <v>0</v>
      </c>
      <c r="AT86" s="159">
        <v>0</v>
      </c>
      <c r="AU86" s="159">
        <v>0</v>
      </c>
      <c r="AV86" s="159">
        <v>0</v>
      </c>
      <c r="AW86" s="159">
        <v>0</v>
      </c>
      <c r="AX86" s="159">
        <v>0</v>
      </c>
      <c r="AY86" s="159">
        <v>0</v>
      </c>
      <c r="AZ86" s="159">
        <v>0</v>
      </c>
      <c r="BA86" s="159">
        <v>0</v>
      </c>
      <c r="BB86" s="159">
        <v>0</v>
      </c>
      <c r="BC86" s="159">
        <f t="shared" si="18"/>
        <v>0</v>
      </c>
      <c r="BD86" s="159">
        <f t="shared" si="19"/>
        <v>0</v>
      </c>
      <c r="BE86" s="159">
        <f t="shared" si="20"/>
        <v>0</v>
      </c>
      <c r="BF86" s="159">
        <f t="shared" si="21"/>
        <v>0</v>
      </c>
      <c r="BG86" s="159">
        <f t="shared" si="22"/>
        <v>0</v>
      </c>
      <c r="BH86" s="66"/>
    </row>
    <row r="87" spans="1:60" s="65" customFormat="1" ht="173.25">
      <c r="A87" s="118" t="s">
        <v>943</v>
      </c>
      <c r="B87" s="144" t="s">
        <v>944</v>
      </c>
      <c r="C87" s="125" t="s">
        <v>876</v>
      </c>
      <c r="D87" s="163" t="s">
        <v>876</v>
      </c>
      <c r="E87" s="253">
        <f t="shared" ref="E87:E101" si="23">J87+O87+T87+Y87</f>
        <v>0</v>
      </c>
      <c r="F87" s="253">
        <f t="shared" ref="F87:F101" si="24">K87+P87+U87+Z87</f>
        <v>0</v>
      </c>
      <c r="G87" s="253">
        <f t="shared" ref="G87:G101" si="25">L87+Q87+V87+AA87</f>
        <v>0</v>
      </c>
      <c r="H87" s="253">
        <f t="shared" ref="H87:H101" si="26">M87+R87+W87+AB87</f>
        <v>0</v>
      </c>
      <c r="I87" s="253">
        <f t="shared" ref="I87:I101" si="27">N87+S87+X87+AC87</f>
        <v>0</v>
      </c>
      <c r="J87" s="253">
        <v>0</v>
      </c>
      <c r="K87" s="253">
        <v>0</v>
      </c>
      <c r="L87" s="253">
        <v>0</v>
      </c>
      <c r="M87" s="253">
        <v>0</v>
      </c>
      <c r="N87" s="253">
        <v>0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59">
        <v>0</v>
      </c>
      <c r="U87" s="159">
        <v>0</v>
      </c>
      <c r="V87" s="159">
        <v>0</v>
      </c>
      <c r="W87" s="159">
        <v>0</v>
      </c>
      <c r="X87" s="159">
        <v>0</v>
      </c>
      <c r="Y87" s="159">
        <v>0</v>
      </c>
      <c r="Z87" s="159">
        <v>0</v>
      </c>
      <c r="AA87" s="159">
        <v>0</v>
      </c>
      <c r="AB87" s="159">
        <v>0</v>
      </c>
      <c r="AC87" s="159">
        <v>0</v>
      </c>
      <c r="AD87" s="159">
        <v>0</v>
      </c>
      <c r="AE87" s="159">
        <v>0</v>
      </c>
      <c r="AF87" s="159">
        <v>0</v>
      </c>
      <c r="AG87" s="159">
        <v>0</v>
      </c>
      <c r="AH87" s="159">
        <v>0</v>
      </c>
      <c r="AI87" s="159">
        <v>0</v>
      </c>
      <c r="AJ87" s="159">
        <v>0</v>
      </c>
      <c r="AK87" s="159">
        <v>0</v>
      </c>
      <c r="AL87" s="159">
        <v>0</v>
      </c>
      <c r="AM87" s="159">
        <v>0</v>
      </c>
      <c r="AN87" s="159">
        <v>0</v>
      </c>
      <c r="AO87" s="159">
        <v>0</v>
      </c>
      <c r="AP87" s="159">
        <v>0</v>
      </c>
      <c r="AQ87" s="159">
        <v>0</v>
      </c>
      <c r="AR87" s="159">
        <v>0</v>
      </c>
      <c r="AS87" s="159">
        <v>0</v>
      </c>
      <c r="AT87" s="159">
        <v>0</v>
      </c>
      <c r="AU87" s="159">
        <v>0</v>
      </c>
      <c r="AV87" s="159">
        <v>0</v>
      </c>
      <c r="AW87" s="159">
        <v>0</v>
      </c>
      <c r="AX87" s="159">
        <v>0</v>
      </c>
      <c r="AY87" s="159">
        <v>0</v>
      </c>
      <c r="AZ87" s="159">
        <v>0</v>
      </c>
      <c r="BA87" s="159">
        <v>0</v>
      </c>
      <c r="BB87" s="159">
        <v>0</v>
      </c>
      <c r="BC87" s="159">
        <f t="shared" si="18"/>
        <v>0</v>
      </c>
      <c r="BD87" s="159">
        <f t="shared" si="19"/>
        <v>0</v>
      </c>
      <c r="BE87" s="159">
        <f t="shared" si="20"/>
        <v>0</v>
      </c>
      <c r="BF87" s="159">
        <f t="shared" si="21"/>
        <v>0</v>
      </c>
      <c r="BG87" s="159">
        <f t="shared" si="22"/>
        <v>0</v>
      </c>
      <c r="BH87" s="66"/>
    </row>
    <row r="88" spans="1:60" s="65" customFormat="1" ht="94.5">
      <c r="A88" s="118" t="s">
        <v>945</v>
      </c>
      <c r="B88" s="144" t="s">
        <v>946</v>
      </c>
      <c r="C88" s="125" t="s">
        <v>876</v>
      </c>
      <c r="D88" s="163" t="s">
        <v>876</v>
      </c>
      <c r="E88" s="253">
        <f t="shared" si="23"/>
        <v>0</v>
      </c>
      <c r="F88" s="253">
        <f t="shared" si="24"/>
        <v>0</v>
      </c>
      <c r="G88" s="253">
        <f t="shared" si="25"/>
        <v>0</v>
      </c>
      <c r="H88" s="253">
        <f t="shared" si="26"/>
        <v>0</v>
      </c>
      <c r="I88" s="253">
        <f t="shared" si="27"/>
        <v>0</v>
      </c>
      <c r="J88" s="253">
        <v>0</v>
      </c>
      <c r="K88" s="253">
        <v>0</v>
      </c>
      <c r="L88" s="253">
        <v>0</v>
      </c>
      <c r="M88" s="253">
        <v>0</v>
      </c>
      <c r="N88" s="253">
        <v>0</v>
      </c>
      <c r="O88" s="159">
        <v>0</v>
      </c>
      <c r="P88" s="159">
        <v>0</v>
      </c>
      <c r="Q88" s="159">
        <v>0</v>
      </c>
      <c r="R88" s="159">
        <v>0</v>
      </c>
      <c r="S88" s="159">
        <v>0</v>
      </c>
      <c r="T88" s="159">
        <v>0</v>
      </c>
      <c r="U88" s="159">
        <v>0</v>
      </c>
      <c r="V88" s="159">
        <v>0</v>
      </c>
      <c r="W88" s="159">
        <v>0</v>
      </c>
      <c r="X88" s="159">
        <v>0</v>
      </c>
      <c r="Y88" s="159">
        <v>0</v>
      </c>
      <c r="Z88" s="159">
        <v>0</v>
      </c>
      <c r="AA88" s="159">
        <v>0</v>
      </c>
      <c r="AB88" s="159">
        <v>0</v>
      </c>
      <c r="AC88" s="159">
        <v>0</v>
      </c>
      <c r="AD88" s="159">
        <v>0</v>
      </c>
      <c r="AE88" s="159">
        <v>0</v>
      </c>
      <c r="AF88" s="159">
        <v>0</v>
      </c>
      <c r="AG88" s="159">
        <v>0</v>
      </c>
      <c r="AH88" s="159">
        <v>0</v>
      </c>
      <c r="AI88" s="159">
        <v>0</v>
      </c>
      <c r="AJ88" s="159">
        <v>0</v>
      </c>
      <c r="AK88" s="159">
        <v>0</v>
      </c>
      <c r="AL88" s="159">
        <v>0</v>
      </c>
      <c r="AM88" s="159">
        <v>0</v>
      </c>
      <c r="AN88" s="159">
        <v>0</v>
      </c>
      <c r="AO88" s="159">
        <v>0</v>
      </c>
      <c r="AP88" s="159">
        <v>0</v>
      </c>
      <c r="AQ88" s="159">
        <v>0</v>
      </c>
      <c r="AR88" s="159">
        <v>0</v>
      </c>
      <c r="AS88" s="159">
        <v>0</v>
      </c>
      <c r="AT88" s="159">
        <v>0</v>
      </c>
      <c r="AU88" s="159">
        <v>0</v>
      </c>
      <c r="AV88" s="159">
        <v>0</v>
      </c>
      <c r="AW88" s="159">
        <v>0</v>
      </c>
      <c r="AX88" s="159">
        <v>0</v>
      </c>
      <c r="AY88" s="159">
        <v>0</v>
      </c>
      <c r="AZ88" s="159">
        <v>0</v>
      </c>
      <c r="BA88" s="159">
        <v>0</v>
      </c>
      <c r="BB88" s="159">
        <v>0</v>
      </c>
      <c r="BC88" s="159">
        <f t="shared" si="18"/>
        <v>0</v>
      </c>
      <c r="BD88" s="159">
        <f t="shared" si="19"/>
        <v>0</v>
      </c>
      <c r="BE88" s="159">
        <f t="shared" si="20"/>
        <v>0</v>
      </c>
      <c r="BF88" s="159">
        <f t="shared" si="21"/>
        <v>0</v>
      </c>
      <c r="BG88" s="159">
        <f t="shared" si="22"/>
        <v>0</v>
      </c>
      <c r="BH88" s="66"/>
    </row>
    <row r="89" spans="1:60" s="65" customFormat="1" ht="94.5">
      <c r="A89" s="118" t="s">
        <v>947</v>
      </c>
      <c r="B89" s="144" t="s">
        <v>948</v>
      </c>
      <c r="C89" s="125" t="s">
        <v>876</v>
      </c>
      <c r="D89" s="163" t="s">
        <v>876</v>
      </c>
      <c r="E89" s="253">
        <f t="shared" si="23"/>
        <v>0</v>
      </c>
      <c r="F89" s="253">
        <f t="shared" si="24"/>
        <v>0</v>
      </c>
      <c r="G89" s="253">
        <f t="shared" si="25"/>
        <v>0</v>
      </c>
      <c r="H89" s="253">
        <f t="shared" si="26"/>
        <v>0</v>
      </c>
      <c r="I89" s="253">
        <f t="shared" si="27"/>
        <v>0</v>
      </c>
      <c r="J89" s="253">
        <v>0</v>
      </c>
      <c r="K89" s="253">
        <v>0</v>
      </c>
      <c r="L89" s="253">
        <v>0</v>
      </c>
      <c r="M89" s="253">
        <v>0</v>
      </c>
      <c r="N89" s="253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0</v>
      </c>
      <c r="U89" s="159">
        <v>0</v>
      </c>
      <c r="V89" s="159">
        <v>0</v>
      </c>
      <c r="W89" s="159">
        <v>0</v>
      </c>
      <c r="X89" s="159">
        <v>0</v>
      </c>
      <c r="Y89" s="159">
        <v>0</v>
      </c>
      <c r="Z89" s="159">
        <v>0</v>
      </c>
      <c r="AA89" s="159">
        <v>0</v>
      </c>
      <c r="AB89" s="159">
        <v>0</v>
      </c>
      <c r="AC89" s="159">
        <v>0</v>
      </c>
      <c r="AD89" s="159">
        <v>0</v>
      </c>
      <c r="AE89" s="159">
        <v>0</v>
      </c>
      <c r="AF89" s="159">
        <v>0</v>
      </c>
      <c r="AG89" s="159">
        <v>0</v>
      </c>
      <c r="AH89" s="159">
        <v>0</v>
      </c>
      <c r="AI89" s="159">
        <v>0</v>
      </c>
      <c r="AJ89" s="159">
        <v>0</v>
      </c>
      <c r="AK89" s="159">
        <v>0</v>
      </c>
      <c r="AL89" s="159">
        <v>0</v>
      </c>
      <c r="AM89" s="159">
        <v>0</v>
      </c>
      <c r="AN89" s="159">
        <v>0</v>
      </c>
      <c r="AO89" s="159">
        <v>0</v>
      </c>
      <c r="AP89" s="159">
        <v>0</v>
      </c>
      <c r="AQ89" s="159">
        <v>0</v>
      </c>
      <c r="AR89" s="159">
        <v>0</v>
      </c>
      <c r="AS89" s="159">
        <v>0</v>
      </c>
      <c r="AT89" s="159">
        <v>0</v>
      </c>
      <c r="AU89" s="159">
        <v>0</v>
      </c>
      <c r="AV89" s="159">
        <v>0</v>
      </c>
      <c r="AW89" s="159">
        <v>0</v>
      </c>
      <c r="AX89" s="159">
        <v>0</v>
      </c>
      <c r="AY89" s="159">
        <v>0</v>
      </c>
      <c r="AZ89" s="159">
        <v>0</v>
      </c>
      <c r="BA89" s="159">
        <v>0</v>
      </c>
      <c r="BB89" s="159">
        <v>0</v>
      </c>
      <c r="BC89" s="159">
        <f t="shared" si="18"/>
        <v>0</v>
      </c>
      <c r="BD89" s="159">
        <f t="shared" si="19"/>
        <v>0</v>
      </c>
      <c r="BE89" s="159">
        <f t="shared" si="20"/>
        <v>0</v>
      </c>
      <c r="BF89" s="159">
        <f t="shared" si="21"/>
        <v>0</v>
      </c>
      <c r="BG89" s="159">
        <f t="shared" si="22"/>
        <v>0</v>
      </c>
      <c r="BH89" s="66"/>
    </row>
    <row r="90" spans="1:60" s="65" customFormat="1" ht="47.25">
      <c r="A90" s="118" t="s">
        <v>949</v>
      </c>
      <c r="B90" s="144" t="s">
        <v>884</v>
      </c>
      <c r="C90" s="138" t="s">
        <v>876</v>
      </c>
      <c r="D90" s="163" t="s">
        <v>876</v>
      </c>
      <c r="E90" s="253">
        <f t="shared" si="23"/>
        <v>0</v>
      </c>
      <c r="F90" s="253">
        <f t="shared" si="24"/>
        <v>0</v>
      </c>
      <c r="G90" s="253">
        <f t="shared" si="25"/>
        <v>0</v>
      </c>
      <c r="H90" s="253">
        <f t="shared" si="26"/>
        <v>0</v>
      </c>
      <c r="I90" s="253">
        <f t="shared" si="27"/>
        <v>0</v>
      </c>
      <c r="J90" s="253">
        <v>0</v>
      </c>
      <c r="K90" s="253">
        <v>0</v>
      </c>
      <c r="L90" s="253">
        <v>0</v>
      </c>
      <c r="M90" s="253">
        <v>0</v>
      </c>
      <c r="N90" s="253">
        <v>0</v>
      </c>
      <c r="O90" s="159">
        <v>0</v>
      </c>
      <c r="P90" s="159">
        <v>0</v>
      </c>
      <c r="Q90" s="159">
        <v>0</v>
      </c>
      <c r="R90" s="159">
        <v>0</v>
      </c>
      <c r="S90" s="159">
        <v>0</v>
      </c>
      <c r="T90" s="159">
        <v>0</v>
      </c>
      <c r="U90" s="159">
        <v>0</v>
      </c>
      <c r="V90" s="159">
        <v>0</v>
      </c>
      <c r="W90" s="159">
        <v>0</v>
      </c>
      <c r="X90" s="159">
        <v>0</v>
      </c>
      <c r="Y90" s="159">
        <v>0</v>
      </c>
      <c r="Z90" s="159">
        <v>0</v>
      </c>
      <c r="AA90" s="159">
        <v>0</v>
      </c>
      <c r="AB90" s="159">
        <v>0</v>
      </c>
      <c r="AC90" s="159">
        <v>0</v>
      </c>
      <c r="AD90" s="159">
        <v>0</v>
      </c>
      <c r="AE90" s="159">
        <v>0</v>
      </c>
      <c r="AF90" s="159">
        <v>0</v>
      </c>
      <c r="AG90" s="159">
        <v>0</v>
      </c>
      <c r="AH90" s="159">
        <v>0</v>
      </c>
      <c r="AI90" s="159">
        <v>0</v>
      </c>
      <c r="AJ90" s="159">
        <v>0</v>
      </c>
      <c r="AK90" s="159">
        <v>0</v>
      </c>
      <c r="AL90" s="159">
        <v>0</v>
      </c>
      <c r="AM90" s="159">
        <v>0</v>
      </c>
      <c r="AN90" s="159">
        <v>0</v>
      </c>
      <c r="AO90" s="159">
        <v>0</v>
      </c>
      <c r="AP90" s="159">
        <v>0</v>
      </c>
      <c r="AQ90" s="159">
        <v>0</v>
      </c>
      <c r="AR90" s="159">
        <v>0</v>
      </c>
      <c r="AS90" s="159">
        <v>0</v>
      </c>
      <c r="AT90" s="159">
        <v>0</v>
      </c>
      <c r="AU90" s="159">
        <v>0</v>
      </c>
      <c r="AV90" s="159">
        <v>0</v>
      </c>
      <c r="AW90" s="159">
        <v>0</v>
      </c>
      <c r="AX90" s="159">
        <v>0</v>
      </c>
      <c r="AY90" s="159">
        <v>0</v>
      </c>
      <c r="AZ90" s="159">
        <v>0</v>
      </c>
      <c r="BA90" s="159">
        <v>0</v>
      </c>
      <c r="BB90" s="159">
        <v>0</v>
      </c>
      <c r="BC90" s="159">
        <f t="shared" si="18"/>
        <v>0</v>
      </c>
      <c r="BD90" s="159">
        <f t="shared" si="19"/>
        <v>0</v>
      </c>
      <c r="BE90" s="159">
        <f t="shared" si="20"/>
        <v>0</v>
      </c>
      <c r="BF90" s="159">
        <f t="shared" si="21"/>
        <v>0</v>
      </c>
      <c r="BG90" s="159">
        <f t="shared" si="22"/>
        <v>0</v>
      </c>
      <c r="BH90" s="66"/>
    </row>
    <row r="91" spans="1:60" s="65" customFormat="1" ht="63">
      <c r="A91" s="134" t="s">
        <v>843</v>
      </c>
      <c r="B91" s="147" t="s">
        <v>1072</v>
      </c>
      <c r="C91" s="130" t="s">
        <v>1088</v>
      </c>
      <c r="D91" s="163" t="s">
        <v>876</v>
      </c>
      <c r="E91" s="253">
        <v>0</v>
      </c>
      <c r="F91" s="253">
        <v>0</v>
      </c>
      <c r="G91" s="253">
        <v>0</v>
      </c>
      <c r="H91" s="253">
        <v>0</v>
      </c>
      <c r="I91" s="253">
        <v>0</v>
      </c>
      <c r="J91" s="253">
        <v>0</v>
      </c>
      <c r="K91" s="253">
        <v>0</v>
      </c>
      <c r="L91" s="253">
        <v>0</v>
      </c>
      <c r="M91" s="253">
        <v>0</v>
      </c>
      <c r="N91" s="253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59">
        <v>0</v>
      </c>
      <c r="AC91" s="159">
        <v>0</v>
      </c>
      <c r="AD91" s="159">
        <v>0</v>
      </c>
      <c r="AE91" s="159">
        <v>0</v>
      </c>
      <c r="AF91" s="159">
        <v>0</v>
      </c>
      <c r="AG91" s="159">
        <v>0</v>
      </c>
      <c r="AH91" s="159">
        <v>0</v>
      </c>
      <c r="AI91" s="159">
        <v>0</v>
      </c>
      <c r="AJ91" s="159">
        <v>0</v>
      </c>
      <c r="AK91" s="159">
        <v>0</v>
      </c>
      <c r="AL91" s="159">
        <v>0</v>
      </c>
      <c r="AM91" s="159">
        <v>0</v>
      </c>
      <c r="AN91" s="159">
        <v>0</v>
      </c>
      <c r="AO91" s="159">
        <v>0</v>
      </c>
      <c r="AP91" s="159">
        <v>0</v>
      </c>
      <c r="AQ91" s="159">
        <v>0</v>
      </c>
      <c r="AR91" s="159">
        <v>0</v>
      </c>
      <c r="AS91" s="159">
        <v>0</v>
      </c>
      <c r="AT91" s="159">
        <v>0</v>
      </c>
      <c r="AU91" s="159">
        <v>0</v>
      </c>
      <c r="AV91" s="159">
        <v>0</v>
      </c>
      <c r="AW91" s="159">
        <v>0</v>
      </c>
      <c r="AX91" s="159">
        <v>0</v>
      </c>
      <c r="AY91" s="159">
        <v>0</v>
      </c>
      <c r="AZ91" s="159">
        <v>0</v>
      </c>
      <c r="BA91" s="159">
        <v>0</v>
      </c>
      <c r="BB91" s="159">
        <v>0</v>
      </c>
      <c r="BC91" s="159">
        <f t="shared" si="18"/>
        <v>0</v>
      </c>
      <c r="BD91" s="159">
        <f t="shared" si="19"/>
        <v>0</v>
      </c>
      <c r="BE91" s="159">
        <f t="shared" si="20"/>
        <v>0</v>
      </c>
      <c r="BF91" s="159">
        <f t="shared" si="21"/>
        <v>0</v>
      </c>
      <c r="BG91" s="159">
        <f t="shared" si="22"/>
        <v>0</v>
      </c>
      <c r="BH91" s="111"/>
    </row>
    <row r="92" spans="1:60" s="65" customFormat="1" ht="78.75">
      <c r="A92" s="134" t="s">
        <v>844</v>
      </c>
      <c r="B92" s="147" t="s">
        <v>1073</v>
      </c>
      <c r="C92" s="130" t="s">
        <v>1087</v>
      </c>
      <c r="D92" s="163" t="s">
        <v>876</v>
      </c>
      <c r="E92" s="253">
        <v>0</v>
      </c>
      <c r="F92" s="253">
        <v>0</v>
      </c>
      <c r="G92" s="253">
        <v>0</v>
      </c>
      <c r="H92" s="253">
        <v>0</v>
      </c>
      <c r="I92" s="253">
        <v>0</v>
      </c>
      <c r="J92" s="253">
        <v>0</v>
      </c>
      <c r="K92" s="253">
        <v>0</v>
      </c>
      <c r="L92" s="253">
        <v>0</v>
      </c>
      <c r="M92" s="253">
        <v>0</v>
      </c>
      <c r="N92" s="253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59">
        <v>0</v>
      </c>
      <c r="V92" s="159">
        <v>0</v>
      </c>
      <c r="W92" s="159">
        <v>0</v>
      </c>
      <c r="X92" s="159">
        <v>0</v>
      </c>
      <c r="Y92" s="159">
        <v>0</v>
      </c>
      <c r="Z92" s="159">
        <v>0</v>
      </c>
      <c r="AA92" s="159">
        <v>0</v>
      </c>
      <c r="AB92" s="159">
        <v>0</v>
      </c>
      <c r="AC92" s="159">
        <v>0</v>
      </c>
      <c r="AD92" s="159">
        <v>0</v>
      </c>
      <c r="AE92" s="159">
        <v>0</v>
      </c>
      <c r="AF92" s="159">
        <v>0</v>
      </c>
      <c r="AG92" s="159">
        <v>0</v>
      </c>
      <c r="AH92" s="159">
        <v>0</v>
      </c>
      <c r="AI92" s="159">
        <v>0</v>
      </c>
      <c r="AJ92" s="159">
        <v>0</v>
      </c>
      <c r="AK92" s="159">
        <v>0</v>
      </c>
      <c r="AL92" s="159">
        <v>0</v>
      </c>
      <c r="AM92" s="159">
        <v>0</v>
      </c>
      <c r="AN92" s="159">
        <v>0</v>
      </c>
      <c r="AO92" s="159">
        <v>0</v>
      </c>
      <c r="AP92" s="159">
        <v>0</v>
      </c>
      <c r="AQ92" s="159">
        <v>0</v>
      </c>
      <c r="AR92" s="159">
        <v>0</v>
      </c>
      <c r="AS92" s="159">
        <v>0</v>
      </c>
      <c r="AT92" s="159">
        <v>0</v>
      </c>
      <c r="AU92" s="159">
        <v>0</v>
      </c>
      <c r="AV92" s="159">
        <v>0</v>
      </c>
      <c r="AW92" s="159">
        <v>0</v>
      </c>
      <c r="AX92" s="159">
        <v>0</v>
      </c>
      <c r="AY92" s="159">
        <v>0</v>
      </c>
      <c r="AZ92" s="159">
        <v>0</v>
      </c>
      <c r="BA92" s="159">
        <v>0</v>
      </c>
      <c r="BB92" s="159">
        <v>0</v>
      </c>
      <c r="BC92" s="159">
        <f t="shared" si="18"/>
        <v>0</v>
      </c>
      <c r="BD92" s="159">
        <f t="shared" si="19"/>
        <v>0</v>
      </c>
      <c r="BE92" s="159">
        <f t="shared" si="20"/>
        <v>0</v>
      </c>
      <c r="BF92" s="159">
        <f t="shared" si="21"/>
        <v>0</v>
      </c>
      <c r="BG92" s="159">
        <f t="shared" si="22"/>
        <v>0</v>
      </c>
      <c r="BH92" s="111"/>
    </row>
    <row r="93" spans="1:60" s="65" customFormat="1" ht="78.75">
      <c r="A93" s="118" t="s">
        <v>950</v>
      </c>
      <c r="B93" s="144" t="s">
        <v>951</v>
      </c>
      <c r="C93" s="125" t="s">
        <v>876</v>
      </c>
      <c r="D93" s="163" t="s">
        <v>876</v>
      </c>
      <c r="E93" s="253">
        <f t="shared" si="23"/>
        <v>0</v>
      </c>
      <c r="F93" s="253">
        <f t="shared" si="24"/>
        <v>0</v>
      </c>
      <c r="G93" s="253">
        <f t="shared" si="25"/>
        <v>0</v>
      </c>
      <c r="H93" s="253">
        <f t="shared" si="26"/>
        <v>0</v>
      </c>
      <c r="I93" s="253">
        <f t="shared" si="27"/>
        <v>0</v>
      </c>
      <c r="J93" s="253">
        <v>0</v>
      </c>
      <c r="K93" s="253">
        <v>0</v>
      </c>
      <c r="L93" s="253">
        <v>0</v>
      </c>
      <c r="M93" s="253">
        <v>0</v>
      </c>
      <c r="N93" s="253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0</v>
      </c>
      <c r="AA93" s="159">
        <v>0</v>
      </c>
      <c r="AB93" s="159">
        <v>0</v>
      </c>
      <c r="AC93" s="159">
        <v>0</v>
      </c>
      <c r="AD93" s="159">
        <v>0</v>
      </c>
      <c r="AE93" s="159">
        <v>0</v>
      </c>
      <c r="AF93" s="159">
        <v>0</v>
      </c>
      <c r="AG93" s="159">
        <v>0</v>
      </c>
      <c r="AH93" s="159">
        <v>0</v>
      </c>
      <c r="AI93" s="159">
        <v>0</v>
      </c>
      <c r="AJ93" s="159">
        <v>0</v>
      </c>
      <c r="AK93" s="159">
        <v>0</v>
      </c>
      <c r="AL93" s="159">
        <v>0</v>
      </c>
      <c r="AM93" s="159">
        <v>0</v>
      </c>
      <c r="AN93" s="159">
        <v>0</v>
      </c>
      <c r="AO93" s="159">
        <v>0</v>
      </c>
      <c r="AP93" s="159">
        <v>0</v>
      </c>
      <c r="AQ93" s="159">
        <v>0</v>
      </c>
      <c r="AR93" s="159">
        <v>0</v>
      </c>
      <c r="AS93" s="159">
        <v>0</v>
      </c>
      <c r="AT93" s="159">
        <v>0</v>
      </c>
      <c r="AU93" s="159">
        <v>0</v>
      </c>
      <c r="AV93" s="159">
        <v>0</v>
      </c>
      <c r="AW93" s="159">
        <v>0</v>
      </c>
      <c r="AX93" s="159">
        <v>0</v>
      </c>
      <c r="AY93" s="159">
        <v>0</v>
      </c>
      <c r="AZ93" s="159">
        <v>0</v>
      </c>
      <c r="BA93" s="159">
        <v>0</v>
      </c>
      <c r="BB93" s="159">
        <v>0</v>
      </c>
      <c r="BC93" s="159">
        <f t="shared" si="18"/>
        <v>0</v>
      </c>
      <c r="BD93" s="159">
        <f t="shared" si="19"/>
        <v>0</v>
      </c>
      <c r="BE93" s="159">
        <f t="shared" si="20"/>
        <v>0</v>
      </c>
      <c r="BF93" s="159">
        <f t="shared" si="21"/>
        <v>0</v>
      </c>
      <c r="BG93" s="159">
        <f t="shared" si="22"/>
        <v>0</v>
      </c>
      <c r="BH93" s="66"/>
    </row>
    <row r="94" spans="1:60" s="65" customFormat="1" ht="31.5">
      <c r="A94" s="118" t="s">
        <v>952</v>
      </c>
      <c r="B94" s="144" t="s">
        <v>953</v>
      </c>
      <c r="C94" s="125" t="s">
        <v>876</v>
      </c>
      <c r="D94" s="163" t="s">
        <v>876</v>
      </c>
      <c r="E94" s="253">
        <f t="shared" si="23"/>
        <v>0</v>
      </c>
      <c r="F94" s="253">
        <f t="shared" si="24"/>
        <v>0</v>
      </c>
      <c r="G94" s="253">
        <f t="shared" si="25"/>
        <v>0</v>
      </c>
      <c r="H94" s="253">
        <f t="shared" si="26"/>
        <v>0</v>
      </c>
      <c r="I94" s="253">
        <f t="shared" si="27"/>
        <v>0</v>
      </c>
      <c r="J94" s="253">
        <v>0</v>
      </c>
      <c r="K94" s="253">
        <v>0</v>
      </c>
      <c r="L94" s="253">
        <v>0</v>
      </c>
      <c r="M94" s="253">
        <v>0</v>
      </c>
      <c r="N94" s="253">
        <v>0</v>
      </c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59">
        <v>0</v>
      </c>
      <c r="U94" s="159">
        <v>0</v>
      </c>
      <c r="V94" s="159">
        <v>0</v>
      </c>
      <c r="W94" s="159">
        <v>0</v>
      </c>
      <c r="X94" s="159">
        <v>0</v>
      </c>
      <c r="Y94" s="159">
        <v>0</v>
      </c>
      <c r="Z94" s="159">
        <v>0</v>
      </c>
      <c r="AA94" s="159">
        <v>0</v>
      </c>
      <c r="AB94" s="159">
        <v>0</v>
      </c>
      <c r="AC94" s="159">
        <v>0</v>
      </c>
      <c r="AD94" s="159">
        <v>0</v>
      </c>
      <c r="AE94" s="159">
        <v>0</v>
      </c>
      <c r="AF94" s="159">
        <v>0</v>
      </c>
      <c r="AG94" s="159">
        <v>0</v>
      </c>
      <c r="AH94" s="159">
        <v>0</v>
      </c>
      <c r="AI94" s="159">
        <v>0</v>
      </c>
      <c r="AJ94" s="159">
        <v>0</v>
      </c>
      <c r="AK94" s="159">
        <v>0</v>
      </c>
      <c r="AL94" s="159">
        <v>0</v>
      </c>
      <c r="AM94" s="159">
        <v>0</v>
      </c>
      <c r="AN94" s="159">
        <v>0</v>
      </c>
      <c r="AO94" s="159">
        <v>0</v>
      </c>
      <c r="AP94" s="159">
        <v>0</v>
      </c>
      <c r="AQ94" s="159">
        <v>0</v>
      </c>
      <c r="AR94" s="159">
        <v>0</v>
      </c>
      <c r="AS94" s="159">
        <v>0</v>
      </c>
      <c r="AT94" s="159">
        <v>0</v>
      </c>
      <c r="AU94" s="159">
        <v>0</v>
      </c>
      <c r="AV94" s="159">
        <v>0</v>
      </c>
      <c r="AW94" s="159">
        <v>0</v>
      </c>
      <c r="AX94" s="159">
        <v>0</v>
      </c>
      <c r="AY94" s="159">
        <v>0</v>
      </c>
      <c r="AZ94" s="159">
        <v>0</v>
      </c>
      <c r="BA94" s="159">
        <v>0</v>
      </c>
      <c r="BB94" s="159">
        <v>0</v>
      </c>
      <c r="BC94" s="159">
        <f t="shared" si="18"/>
        <v>0</v>
      </c>
      <c r="BD94" s="159">
        <f t="shared" si="19"/>
        <v>0</v>
      </c>
      <c r="BE94" s="159">
        <f t="shared" si="20"/>
        <v>0</v>
      </c>
      <c r="BF94" s="159">
        <f t="shared" si="21"/>
        <v>0</v>
      </c>
      <c r="BG94" s="159">
        <f t="shared" si="22"/>
        <v>0</v>
      </c>
      <c r="BH94" s="66"/>
    </row>
    <row r="95" spans="1:60" s="65" customFormat="1">
      <c r="A95" s="118" t="s">
        <v>952</v>
      </c>
      <c r="B95" s="144" t="s">
        <v>954</v>
      </c>
      <c r="C95" s="125" t="s">
        <v>876</v>
      </c>
      <c r="D95" s="163" t="s">
        <v>876</v>
      </c>
      <c r="E95" s="253">
        <f t="shared" si="23"/>
        <v>0</v>
      </c>
      <c r="F95" s="253">
        <f t="shared" si="24"/>
        <v>0</v>
      </c>
      <c r="G95" s="253">
        <f t="shared" si="25"/>
        <v>0</v>
      </c>
      <c r="H95" s="253">
        <f t="shared" si="26"/>
        <v>0</v>
      </c>
      <c r="I95" s="253">
        <f t="shared" si="27"/>
        <v>0</v>
      </c>
      <c r="J95" s="253">
        <v>0</v>
      </c>
      <c r="K95" s="253">
        <v>0</v>
      </c>
      <c r="L95" s="253">
        <v>0</v>
      </c>
      <c r="M95" s="253">
        <v>0</v>
      </c>
      <c r="N95" s="253">
        <v>0</v>
      </c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59">
        <v>0</v>
      </c>
      <c r="V95" s="159">
        <v>0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159">
        <v>0</v>
      </c>
      <c r="AC95" s="159">
        <v>0</v>
      </c>
      <c r="AD95" s="159">
        <v>0</v>
      </c>
      <c r="AE95" s="159">
        <v>0</v>
      </c>
      <c r="AF95" s="159">
        <v>0</v>
      </c>
      <c r="AG95" s="159">
        <v>0</v>
      </c>
      <c r="AH95" s="159">
        <v>0</v>
      </c>
      <c r="AI95" s="159">
        <v>0</v>
      </c>
      <c r="AJ95" s="159">
        <v>0</v>
      </c>
      <c r="AK95" s="159">
        <v>0</v>
      </c>
      <c r="AL95" s="159">
        <v>0</v>
      </c>
      <c r="AM95" s="159">
        <v>0</v>
      </c>
      <c r="AN95" s="159">
        <v>0</v>
      </c>
      <c r="AO95" s="159">
        <v>0</v>
      </c>
      <c r="AP95" s="159">
        <v>0</v>
      </c>
      <c r="AQ95" s="159">
        <v>0</v>
      </c>
      <c r="AR95" s="159">
        <v>0</v>
      </c>
      <c r="AS95" s="159">
        <v>0</v>
      </c>
      <c r="AT95" s="159">
        <v>0</v>
      </c>
      <c r="AU95" s="159">
        <v>0</v>
      </c>
      <c r="AV95" s="159">
        <v>0</v>
      </c>
      <c r="AW95" s="159">
        <v>0</v>
      </c>
      <c r="AX95" s="159">
        <v>0</v>
      </c>
      <c r="AY95" s="159">
        <v>0</v>
      </c>
      <c r="AZ95" s="159">
        <v>0</v>
      </c>
      <c r="BA95" s="159">
        <v>0</v>
      </c>
      <c r="BB95" s="159">
        <v>0</v>
      </c>
      <c r="BC95" s="159">
        <f t="shared" si="18"/>
        <v>0</v>
      </c>
      <c r="BD95" s="159">
        <f t="shared" si="19"/>
        <v>0</v>
      </c>
      <c r="BE95" s="159">
        <f t="shared" si="20"/>
        <v>0</v>
      </c>
      <c r="BF95" s="159">
        <f t="shared" si="21"/>
        <v>0</v>
      </c>
      <c r="BG95" s="159">
        <f t="shared" si="22"/>
        <v>0</v>
      </c>
      <c r="BH95" s="66"/>
    </row>
    <row r="96" spans="1:60" s="65" customFormat="1" ht="63">
      <c r="A96" s="118" t="s">
        <v>955</v>
      </c>
      <c r="B96" s="141" t="s">
        <v>956</v>
      </c>
      <c r="C96" s="119" t="s">
        <v>957</v>
      </c>
      <c r="D96" s="163" t="s">
        <v>876</v>
      </c>
      <c r="E96" s="253">
        <f t="shared" si="23"/>
        <v>0</v>
      </c>
      <c r="F96" s="253">
        <f t="shared" si="24"/>
        <v>0</v>
      </c>
      <c r="G96" s="253">
        <f t="shared" si="25"/>
        <v>0</v>
      </c>
      <c r="H96" s="253">
        <f t="shared" si="26"/>
        <v>0</v>
      </c>
      <c r="I96" s="253">
        <f t="shared" si="27"/>
        <v>0</v>
      </c>
      <c r="J96" s="253">
        <v>0</v>
      </c>
      <c r="K96" s="253">
        <v>0</v>
      </c>
      <c r="L96" s="253">
        <v>0</v>
      </c>
      <c r="M96" s="253">
        <v>0</v>
      </c>
      <c r="N96" s="253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  <c r="X96" s="159">
        <v>0</v>
      </c>
      <c r="Y96" s="159">
        <v>0</v>
      </c>
      <c r="Z96" s="159">
        <v>0</v>
      </c>
      <c r="AA96" s="159">
        <v>0</v>
      </c>
      <c r="AB96" s="159">
        <v>0</v>
      </c>
      <c r="AC96" s="159">
        <v>0</v>
      </c>
      <c r="AD96" s="159">
        <v>0</v>
      </c>
      <c r="AE96" s="159">
        <v>0</v>
      </c>
      <c r="AF96" s="159">
        <v>0</v>
      </c>
      <c r="AG96" s="159">
        <v>0</v>
      </c>
      <c r="AH96" s="159">
        <v>0</v>
      </c>
      <c r="AI96" s="159">
        <v>0</v>
      </c>
      <c r="AJ96" s="159">
        <v>0</v>
      </c>
      <c r="AK96" s="159">
        <v>0</v>
      </c>
      <c r="AL96" s="159">
        <v>0</v>
      </c>
      <c r="AM96" s="159">
        <v>0</v>
      </c>
      <c r="AN96" s="159">
        <v>0</v>
      </c>
      <c r="AO96" s="159">
        <v>0</v>
      </c>
      <c r="AP96" s="159">
        <v>0</v>
      </c>
      <c r="AQ96" s="159">
        <v>0</v>
      </c>
      <c r="AR96" s="159">
        <v>0</v>
      </c>
      <c r="AS96" s="159">
        <v>0</v>
      </c>
      <c r="AT96" s="159">
        <v>0</v>
      </c>
      <c r="AU96" s="159">
        <v>0</v>
      </c>
      <c r="AV96" s="159">
        <v>0</v>
      </c>
      <c r="AW96" s="159">
        <v>0</v>
      </c>
      <c r="AX96" s="159">
        <v>0</v>
      </c>
      <c r="AY96" s="159">
        <v>0</v>
      </c>
      <c r="AZ96" s="159">
        <v>0</v>
      </c>
      <c r="BA96" s="159">
        <v>0</v>
      </c>
      <c r="BB96" s="159">
        <v>0</v>
      </c>
      <c r="BC96" s="159">
        <f t="shared" si="18"/>
        <v>0</v>
      </c>
      <c r="BD96" s="159">
        <f t="shared" si="19"/>
        <v>0</v>
      </c>
      <c r="BE96" s="159">
        <f t="shared" si="20"/>
        <v>0</v>
      </c>
      <c r="BF96" s="159">
        <f t="shared" si="21"/>
        <v>0</v>
      </c>
      <c r="BG96" s="159">
        <f t="shared" si="22"/>
        <v>0</v>
      </c>
      <c r="BH96" s="66"/>
    </row>
    <row r="97" spans="1:60" s="65" customFormat="1" ht="47.25">
      <c r="A97" s="118" t="s">
        <v>958</v>
      </c>
      <c r="B97" s="141" t="s">
        <v>959</v>
      </c>
      <c r="C97" s="119" t="s">
        <v>876</v>
      </c>
      <c r="D97" s="163" t="s">
        <v>876</v>
      </c>
      <c r="E97" s="253">
        <f t="shared" si="23"/>
        <v>0</v>
      </c>
      <c r="F97" s="253">
        <f t="shared" si="24"/>
        <v>0</v>
      </c>
      <c r="G97" s="253">
        <f t="shared" si="25"/>
        <v>0</v>
      </c>
      <c r="H97" s="253">
        <f t="shared" si="26"/>
        <v>0</v>
      </c>
      <c r="I97" s="253">
        <f t="shared" si="27"/>
        <v>0</v>
      </c>
      <c r="J97" s="253">
        <v>0</v>
      </c>
      <c r="K97" s="253">
        <v>0</v>
      </c>
      <c r="L97" s="253">
        <v>0</v>
      </c>
      <c r="M97" s="253">
        <v>0</v>
      </c>
      <c r="N97" s="253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59">
        <v>0</v>
      </c>
      <c r="V97" s="159">
        <v>0</v>
      </c>
      <c r="W97" s="159">
        <v>0</v>
      </c>
      <c r="X97" s="159">
        <v>0</v>
      </c>
      <c r="Y97" s="159">
        <v>0</v>
      </c>
      <c r="Z97" s="159">
        <v>0</v>
      </c>
      <c r="AA97" s="159">
        <v>0</v>
      </c>
      <c r="AB97" s="159">
        <v>0</v>
      </c>
      <c r="AC97" s="159">
        <v>0</v>
      </c>
      <c r="AD97" s="159">
        <v>0</v>
      </c>
      <c r="AE97" s="159">
        <v>0</v>
      </c>
      <c r="AF97" s="159">
        <v>0</v>
      </c>
      <c r="AG97" s="159">
        <v>0</v>
      </c>
      <c r="AH97" s="159">
        <v>0</v>
      </c>
      <c r="AI97" s="159">
        <v>0</v>
      </c>
      <c r="AJ97" s="159">
        <v>0</v>
      </c>
      <c r="AK97" s="159">
        <v>0</v>
      </c>
      <c r="AL97" s="159">
        <v>0</v>
      </c>
      <c r="AM97" s="159">
        <v>0</v>
      </c>
      <c r="AN97" s="159">
        <v>0</v>
      </c>
      <c r="AO97" s="159">
        <v>0</v>
      </c>
      <c r="AP97" s="159">
        <v>0</v>
      </c>
      <c r="AQ97" s="159">
        <v>0</v>
      </c>
      <c r="AR97" s="159">
        <v>0</v>
      </c>
      <c r="AS97" s="159">
        <v>0</v>
      </c>
      <c r="AT97" s="159">
        <v>0</v>
      </c>
      <c r="AU97" s="159">
        <v>0</v>
      </c>
      <c r="AV97" s="159">
        <v>0</v>
      </c>
      <c r="AW97" s="159">
        <v>0</v>
      </c>
      <c r="AX97" s="159">
        <v>0</v>
      </c>
      <c r="AY97" s="159">
        <v>0</v>
      </c>
      <c r="AZ97" s="159">
        <v>0</v>
      </c>
      <c r="BA97" s="159">
        <v>0</v>
      </c>
      <c r="BB97" s="159">
        <v>0</v>
      </c>
      <c r="BC97" s="159">
        <f t="shared" si="18"/>
        <v>0</v>
      </c>
      <c r="BD97" s="159">
        <f t="shared" si="19"/>
        <v>0</v>
      </c>
      <c r="BE97" s="159">
        <f t="shared" si="20"/>
        <v>0</v>
      </c>
      <c r="BF97" s="159">
        <f t="shared" si="21"/>
        <v>0</v>
      </c>
      <c r="BG97" s="159">
        <f t="shared" si="22"/>
        <v>0</v>
      </c>
      <c r="BH97" s="66"/>
    </row>
    <row r="98" spans="1:60" s="65" customFormat="1" ht="63">
      <c r="A98" s="118" t="s">
        <v>960</v>
      </c>
      <c r="B98" s="141" t="s">
        <v>961</v>
      </c>
      <c r="C98" s="119" t="s">
        <v>962</v>
      </c>
      <c r="D98" s="163" t="s">
        <v>876</v>
      </c>
      <c r="E98" s="253">
        <f t="shared" si="23"/>
        <v>0</v>
      </c>
      <c r="F98" s="253">
        <f t="shared" si="24"/>
        <v>0</v>
      </c>
      <c r="G98" s="253">
        <f t="shared" si="25"/>
        <v>0</v>
      </c>
      <c r="H98" s="253">
        <f t="shared" si="26"/>
        <v>0</v>
      </c>
      <c r="I98" s="253">
        <f t="shared" si="27"/>
        <v>0</v>
      </c>
      <c r="J98" s="253">
        <v>0</v>
      </c>
      <c r="K98" s="253">
        <v>0</v>
      </c>
      <c r="L98" s="253">
        <v>0</v>
      </c>
      <c r="M98" s="253">
        <v>0</v>
      </c>
      <c r="N98" s="253">
        <v>0</v>
      </c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159">
        <v>0</v>
      </c>
      <c r="Y98" s="159">
        <v>0</v>
      </c>
      <c r="Z98" s="159">
        <v>0</v>
      </c>
      <c r="AA98" s="159">
        <v>0</v>
      </c>
      <c r="AB98" s="159">
        <v>0</v>
      </c>
      <c r="AC98" s="159">
        <v>0</v>
      </c>
      <c r="AD98" s="159">
        <v>0</v>
      </c>
      <c r="AE98" s="159">
        <v>0</v>
      </c>
      <c r="AF98" s="159">
        <v>0</v>
      </c>
      <c r="AG98" s="159">
        <v>0</v>
      </c>
      <c r="AH98" s="159">
        <v>0</v>
      </c>
      <c r="AI98" s="159">
        <v>0</v>
      </c>
      <c r="AJ98" s="159">
        <v>0</v>
      </c>
      <c r="AK98" s="159">
        <v>0</v>
      </c>
      <c r="AL98" s="159">
        <v>0</v>
      </c>
      <c r="AM98" s="159">
        <v>0</v>
      </c>
      <c r="AN98" s="159">
        <v>0</v>
      </c>
      <c r="AO98" s="159">
        <v>0</v>
      </c>
      <c r="AP98" s="159">
        <v>0</v>
      </c>
      <c r="AQ98" s="159">
        <v>0</v>
      </c>
      <c r="AR98" s="159">
        <v>0</v>
      </c>
      <c r="AS98" s="159">
        <v>0</v>
      </c>
      <c r="AT98" s="159">
        <v>0</v>
      </c>
      <c r="AU98" s="159">
        <v>0</v>
      </c>
      <c r="AV98" s="159">
        <v>0</v>
      </c>
      <c r="AW98" s="159">
        <v>0</v>
      </c>
      <c r="AX98" s="159">
        <v>0</v>
      </c>
      <c r="AY98" s="159">
        <v>0</v>
      </c>
      <c r="AZ98" s="159">
        <v>0</v>
      </c>
      <c r="BA98" s="159">
        <v>0</v>
      </c>
      <c r="BB98" s="159">
        <v>0</v>
      </c>
      <c r="BC98" s="159">
        <f t="shared" si="18"/>
        <v>0</v>
      </c>
      <c r="BD98" s="159">
        <f t="shared" si="19"/>
        <v>0</v>
      </c>
      <c r="BE98" s="159">
        <f t="shared" si="20"/>
        <v>0</v>
      </c>
      <c r="BF98" s="159">
        <f t="shared" si="21"/>
        <v>0</v>
      </c>
      <c r="BG98" s="159">
        <f t="shared" si="22"/>
        <v>0</v>
      </c>
      <c r="BH98" s="66"/>
    </row>
    <row r="99" spans="1:60" s="65" customFormat="1" ht="63">
      <c r="A99" s="118" t="s">
        <v>963</v>
      </c>
      <c r="B99" s="141" t="s">
        <v>964</v>
      </c>
      <c r="C99" s="119" t="s">
        <v>965</v>
      </c>
      <c r="D99" s="163" t="s">
        <v>876</v>
      </c>
      <c r="E99" s="253">
        <f t="shared" si="23"/>
        <v>0</v>
      </c>
      <c r="F99" s="253">
        <f t="shared" si="24"/>
        <v>0</v>
      </c>
      <c r="G99" s="253">
        <f t="shared" si="25"/>
        <v>0</v>
      </c>
      <c r="H99" s="253">
        <f t="shared" si="26"/>
        <v>0</v>
      </c>
      <c r="I99" s="253">
        <f t="shared" si="27"/>
        <v>0</v>
      </c>
      <c r="J99" s="253">
        <v>0</v>
      </c>
      <c r="K99" s="253">
        <v>0</v>
      </c>
      <c r="L99" s="253">
        <v>0</v>
      </c>
      <c r="M99" s="253">
        <v>0</v>
      </c>
      <c r="N99" s="253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59">
        <v>0</v>
      </c>
      <c r="V99" s="159">
        <v>0</v>
      </c>
      <c r="W99" s="159">
        <v>0</v>
      </c>
      <c r="X99" s="159">
        <v>0</v>
      </c>
      <c r="Y99" s="159">
        <v>0</v>
      </c>
      <c r="Z99" s="159">
        <v>0</v>
      </c>
      <c r="AA99" s="159">
        <v>0</v>
      </c>
      <c r="AB99" s="159">
        <v>0</v>
      </c>
      <c r="AC99" s="159">
        <v>0</v>
      </c>
      <c r="AD99" s="159">
        <v>0</v>
      </c>
      <c r="AE99" s="159">
        <v>0</v>
      </c>
      <c r="AF99" s="159">
        <v>0</v>
      </c>
      <c r="AG99" s="159">
        <v>0</v>
      </c>
      <c r="AH99" s="159">
        <v>0</v>
      </c>
      <c r="AI99" s="159">
        <v>0</v>
      </c>
      <c r="AJ99" s="159">
        <v>0</v>
      </c>
      <c r="AK99" s="159">
        <v>0</v>
      </c>
      <c r="AL99" s="159">
        <v>0</v>
      </c>
      <c r="AM99" s="159">
        <v>0</v>
      </c>
      <c r="AN99" s="159">
        <v>0</v>
      </c>
      <c r="AO99" s="159">
        <v>0</v>
      </c>
      <c r="AP99" s="159">
        <v>0</v>
      </c>
      <c r="AQ99" s="159">
        <v>0</v>
      </c>
      <c r="AR99" s="159">
        <v>0</v>
      </c>
      <c r="AS99" s="159">
        <v>0</v>
      </c>
      <c r="AT99" s="159">
        <v>0</v>
      </c>
      <c r="AU99" s="159">
        <v>0</v>
      </c>
      <c r="AV99" s="159">
        <v>0</v>
      </c>
      <c r="AW99" s="159">
        <v>0</v>
      </c>
      <c r="AX99" s="159">
        <v>0</v>
      </c>
      <c r="AY99" s="159">
        <v>0</v>
      </c>
      <c r="AZ99" s="159">
        <v>0</v>
      </c>
      <c r="BA99" s="159">
        <v>0</v>
      </c>
      <c r="BB99" s="159">
        <v>0</v>
      </c>
      <c r="BC99" s="159">
        <f t="shared" si="18"/>
        <v>0</v>
      </c>
      <c r="BD99" s="159">
        <f t="shared" si="19"/>
        <v>0</v>
      </c>
      <c r="BE99" s="159">
        <f t="shared" si="20"/>
        <v>0</v>
      </c>
      <c r="BF99" s="159">
        <f t="shared" si="21"/>
        <v>0</v>
      </c>
      <c r="BG99" s="159">
        <f t="shared" si="22"/>
        <v>0</v>
      </c>
      <c r="BH99" s="66"/>
    </row>
    <row r="100" spans="1:60" s="65" customFormat="1" ht="47.25">
      <c r="A100" s="118" t="s">
        <v>966</v>
      </c>
      <c r="B100" s="141" t="s">
        <v>967</v>
      </c>
      <c r="C100" s="119" t="s">
        <v>968</v>
      </c>
      <c r="D100" s="163" t="s">
        <v>876</v>
      </c>
      <c r="E100" s="253">
        <f t="shared" si="23"/>
        <v>0</v>
      </c>
      <c r="F100" s="253">
        <f t="shared" si="24"/>
        <v>0</v>
      </c>
      <c r="G100" s="253">
        <f t="shared" si="25"/>
        <v>0</v>
      </c>
      <c r="H100" s="253">
        <f t="shared" si="26"/>
        <v>0</v>
      </c>
      <c r="I100" s="253">
        <f t="shared" si="27"/>
        <v>0</v>
      </c>
      <c r="J100" s="253">
        <v>0</v>
      </c>
      <c r="K100" s="253">
        <v>0</v>
      </c>
      <c r="L100" s="253">
        <v>0</v>
      </c>
      <c r="M100" s="253">
        <v>0</v>
      </c>
      <c r="N100" s="253">
        <v>0</v>
      </c>
      <c r="O100" s="159">
        <v>0</v>
      </c>
      <c r="P100" s="159">
        <v>0</v>
      </c>
      <c r="Q100" s="159">
        <v>0</v>
      </c>
      <c r="R100" s="159">
        <v>0</v>
      </c>
      <c r="S100" s="159">
        <v>0</v>
      </c>
      <c r="T100" s="159">
        <v>0</v>
      </c>
      <c r="U100" s="159">
        <v>0</v>
      </c>
      <c r="V100" s="159">
        <v>0</v>
      </c>
      <c r="W100" s="159">
        <v>0</v>
      </c>
      <c r="X100" s="159">
        <v>0</v>
      </c>
      <c r="Y100" s="159">
        <v>0</v>
      </c>
      <c r="Z100" s="159">
        <v>0</v>
      </c>
      <c r="AA100" s="159">
        <v>0</v>
      </c>
      <c r="AB100" s="159">
        <v>0</v>
      </c>
      <c r="AC100" s="159">
        <v>0</v>
      </c>
      <c r="AD100" s="159">
        <v>0</v>
      </c>
      <c r="AE100" s="159">
        <v>0</v>
      </c>
      <c r="AF100" s="159">
        <v>0</v>
      </c>
      <c r="AG100" s="159">
        <v>0</v>
      </c>
      <c r="AH100" s="159">
        <v>0</v>
      </c>
      <c r="AI100" s="159">
        <v>0</v>
      </c>
      <c r="AJ100" s="159">
        <v>0</v>
      </c>
      <c r="AK100" s="159">
        <v>0</v>
      </c>
      <c r="AL100" s="159">
        <v>0</v>
      </c>
      <c r="AM100" s="159">
        <v>0</v>
      </c>
      <c r="AN100" s="159">
        <v>0</v>
      </c>
      <c r="AO100" s="159">
        <v>0</v>
      </c>
      <c r="AP100" s="159">
        <v>0</v>
      </c>
      <c r="AQ100" s="159">
        <v>0</v>
      </c>
      <c r="AR100" s="159">
        <v>0</v>
      </c>
      <c r="AS100" s="159">
        <v>0</v>
      </c>
      <c r="AT100" s="159">
        <v>0</v>
      </c>
      <c r="AU100" s="159">
        <v>0</v>
      </c>
      <c r="AV100" s="159">
        <v>0</v>
      </c>
      <c r="AW100" s="159">
        <v>0</v>
      </c>
      <c r="AX100" s="159">
        <v>0</v>
      </c>
      <c r="AY100" s="159">
        <v>0</v>
      </c>
      <c r="AZ100" s="159">
        <v>0</v>
      </c>
      <c r="BA100" s="159">
        <v>0</v>
      </c>
      <c r="BB100" s="159">
        <v>0</v>
      </c>
      <c r="BC100" s="159">
        <f t="shared" si="18"/>
        <v>0</v>
      </c>
      <c r="BD100" s="159">
        <f t="shared" si="19"/>
        <v>0</v>
      </c>
      <c r="BE100" s="159">
        <f t="shared" si="20"/>
        <v>0</v>
      </c>
      <c r="BF100" s="159">
        <f t="shared" si="21"/>
        <v>0</v>
      </c>
      <c r="BG100" s="159">
        <f t="shared" si="22"/>
        <v>0</v>
      </c>
      <c r="BH100" s="66"/>
    </row>
    <row r="101" spans="1:60" s="65" customFormat="1" ht="78.75">
      <c r="A101" s="118" t="s">
        <v>969</v>
      </c>
      <c r="B101" s="141" t="s">
        <v>970</v>
      </c>
      <c r="C101" s="119" t="s">
        <v>971</v>
      </c>
      <c r="D101" s="163" t="s">
        <v>876</v>
      </c>
      <c r="E101" s="253">
        <f t="shared" si="23"/>
        <v>0</v>
      </c>
      <c r="F101" s="253">
        <f t="shared" si="24"/>
        <v>0</v>
      </c>
      <c r="G101" s="253">
        <f t="shared" si="25"/>
        <v>0</v>
      </c>
      <c r="H101" s="253">
        <f t="shared" si="26"/>
        <v>0</v>
      </c>
      <c r="I101" s="253">
        <f t="shared" si="27"/>
        <v>0</v>
      </c>
      <c r="J101" s="253">
        <v>0</v>
      </c>
      <c r="K101" s="253">
        <v>0</v>
      </c>
      <c r="L101" s="253">
        <v>0</v>
      </c>
      <c r="M101" s="253">
        <v>0</v>
      </c>
      <c r="N101" s="253">
        <v>0</v>
      </c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59">
        <v>0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0</v>
      </c>
      <c r="AB101" s="159">
        <v>0</v>
      </c>
      <c r="AC101" s="159">
        <v>0</v>
      </c>
      <c r="AD101" s="159">
        <v>0</v>
      </c>
      <c r="AE101" s="159">
        <v>0</v>
      </c>
      <c r="AF101" s="159">
        <v>0</v>
      </c>
      <c r="AG101" s="159">
        <v>0</v>
      </c>
      <c r="AH101" s="159">
        <v>0</v>
      </c>
      <c r="AI101" s="159">
        <v>0</v>
      </c>
      <c r="AJ101" s="159">
        <v>0</v>
      </c>
      <c r="AK101" s="159">
        <v>0</v>
      </c>
      <c r="AL101" s="159">
        <v>0</v>
      </c>
      <c r="AM101" s="159">
        <v>0</v>
      </c>
      <c r="AN101" s="159">
        <v>0</v>
      </c>
      <c r="AO101" s="159">
        <v>0</v>
      </c>
      <c r="AP101" s="159">
        <v>0</v>
      </c>
      <c r="AQ101" s="159">
        <v>0</v>
      </c>
      <c r="AR101" s="159">
        <v>0</v>
      </c>
      <c r="AS101" s="159">
        <v>0</v>
      </c>
      <c r="AT101" s="159">
        <v>0</v>
      </c>
      <c r="AU101" s="159">
        <v>0</v>
      </c>
      <c r="AV101" s="159">
        <v>0</v>
      </c>
      <c r="AW101" s="159">
        <v>0</v>
      </c>
      <c r="AX101" s="159">
        <v>0</v>
      </c>
      <c r="AY101" s="159">
        <v>0</v>
      </c>
      <c r="AZ101" s="159">
        <v>0</v>
      </c>
      <c r="BA101" s="159">
        <v>0</v>
      </c>
      <c r="BB101" s="159">
        <v>0</v>
      </c>
      <c r="BC101" s="159">
        <f t="shared" si="18"/>
        <v>0</v>
      </c>
      <c r="BD101" s="159">
        <f t="shared" si="19"/>
        <v>0</v>
      </c>
      <c r="BE101" s="159">
        <f t="shared" si="20"/>
        <v>0</v>
      </c>
      <c r="BF101" s="159">
        <f t="shared" si="21"/>
        <v>0</v>
      </c>
      <c r="BG101" s="159">
        <f t="shared" si="22"/>
        <v>0</v>
      </c>
      <c r="BH101" s="66"/>
    </row>
    <row r="102" spans="1:60" s="65" customFormat="1" ht="47.25" customHeight="1">
      <c r="A102" s="695" t="s">
        <v>21</v>
      </c>
      <c r="B102" s="695"/>
      <c r="C102" s="695"/>
      <c r="D102" s="160"/>
      <c r="E102" s="160">
        <f>E24</f>
        <v>0</v>
      </c>
      <c r="F102" s="160">
        <f t="shared" ref="F102:BG102" si="28">F24</f>
        <v>0</v>
      </c>
      <c r="G102" s="160">
        <f t="shared" si="28"/>
        <v>2.7749999999999999</v>
      </c>
      <c r="H102" s="160">
        <f t="shared" si="28"/>
        <v>0</v>
      </c>
      <c r="I102" s="160">
        <f t="shared" si="28"/>
        <v>0</v>
      </c>
      <c r="J102" s="160">
        <f t="shared" si="28"/>
        <v>0</v>
      </c>
      <c r="K102" s="160">
        <f t="shared" si="28"/>
        <v>0</v>
      </c>
      <c r="L102" s="160">
        <f t="shared" si="28"/>
        <v>0</v>
      </c>
      <c r="M102" s="160">
        <f t="shared" si="28"/>
        <v>0</v>
      </c>
      <c r="N102" s="160">
        <f t="shared" si="28"/>
        <v>0</v>
      </c>
      <c r="O102" s="160">
        <f t="shared" si="28"/>
        <v>0</v>
      </c>
      <c r="P102" s="160">
        <f t="shared" si="28"/>
        <v>0</v>
      </c>
      <c r="Q102" s="160">
        <f t="shared" si="28"/>
        <v>0</v>
      </c>
      <c r="R102" s="160">
        <f t="shared" si="28"/>
        <v>0</v>
      </c>
      <c r="S102" s="160">
        <f t="shared" si="28"/>
        <v>0</v>
      </c>
      <c r="T102" s="160">
        <f t="shared" si="28"/>
        <v>0</v>
      </c>
      <c r="U102" s="160">
        <f t="shared" si="28"/>
        <v>0</v>
      </c>
      <c r="V102" s="160">
        <f t="shared" si="28"/>
        <v>0</v>
      </c>
      <c r="W102" s="160">
        <f t="shared" si="28"/>
        <v>0</v>
      </c>
      <c r="X102" s="160">
        <f t="shared" si="28"/>
        <v>0</v>
      </c>
      <c r="Y102" s="160">
        <f t="shared" si="28"/>
        <v>0</v>
      </c>
      <c r="Z102" s="160">
        <f t="shared" si="28"/>
        <v>0</v>
      </c>
      <c r="AA102" s="160">
        <f t="shared" si="28"/>
        <v>2.7749999999999999</v>
      </c>
      <c r="AB102" s="160">
        <f t="shared" si="28"/>
        <v>0</v>
      </c>
      <c r="AC102" s="160">
        <f t="shared" si="28"/>
        <v>0</v>
      </c>
      <c r="AD102" s="160">
        <f t="shared" si="28"/>
        <v>0</v>
      </c>
      <c r="AE102" s="160">
        <f t="shared" si="28"/>
        <v>0</v>
      </c>
      <c r="AF102" s="160">
        <f t="shared" si="28"/>
        <v>0</v>
      </c>
      <c r="AG102" s="160">
        <f t="shared" si="28"/>
        <v>0</v>
      </c>
      <c r="AH102" s="160">
        <f t="shared" si="28"/>
        <v>0</v>
      </c>
      <c r="AI102" s="160">
        <f t="shared" si="28"/>
        <v>0</v>
      </c>
      <c r="AJ102" s="160">
        <f t="shared" si="28"/>
        <v>0</v>
      </c>
      <c r="AK102" s="160">
        <f t="shared" si="28"/>
        <v>0</v>
      </c>
      <c r="AL102" s="160">
        <f t="shared" si="28"/>
        <v>0</v>
      </c>
      <c r="AM102" s="160">
        <f t="shared" si="28"/>
        <v>0</v>
      </c>
      <c r="AN102" s="160">
        <f t="shared" si="28"/>
        <v>0</v>
      </c>
      <c r="AO102" s="160">
        <f t="shared" si="28"/>
        <v>0</v>
      </c>
      <c r="AP102" s="160">
        <f t="shared" si="28"/>
        <v>0</v>
      </c>
      <c r="AQ102" s="160">
        <f t="shared" si="28"/>
        <v>0</v>
      </c>
      <c r="AR102" s="160">
        <f t="shared" si="28"/>
        <v>0</v>
      </c>
      <c r="AS102" s="160">
        <f t="shared" si="28"/>
        <v>0</v>
      </c>
      <c r="AT102" s="160">
        <f t="shared" si="28"/>
        <v>0</v>
      </c>
      <c r="AU102" s="160">
        <f t="shared" si="28"/>
        <v>0</v>
      </c>
      <c r="AV102" s="160">
        <f t="shared" si="28"/>
        <v>0</v>
      </c>
      <c r="AW102" s="160">
        <f t="shared" si="28"/>
        <v>0</v>
      </c>
      <c r="AX102" s="160">
        <f t="shared" si="28"/>
        <v>0</v>
      </c>
      <c r="AY102" s="160">
        <f t="shared" si="28"/>
        <v>0</v>
      </c>
      <c r="AZ102" s="160">
        <f t="shared" si="28"/>
        <v>0</v>
      </c>
      <c r="BA102" s="160">
        <f t="shared" si="28"/>
        <v>0</v>
      </c>
      <c r="BB102" s="160">
        <f t="shared" si="28"/>
        <v>0</v>
      </c>
      <c r="BC102" s="160">
        <f t="shared" si="28"/>
        <v>0</v>
      </c>
      <c r="BD102" s="160">
        <f t="shared" si="28"/>
        <v>0</v>
      </c>
      <c r="BE102" s="253">
        <f t="shared" si="28"/>
        <v>2.7749999999999999</v>
      </c>
      <c r="BF102" s="160">
        <f t="shared" si="28"/>
        <v>0</v>
      </c>
      <c r="BG102" s="160">
        <f t="shared" si="28"/>
        <v>0</v>
      </c>
      <c r="BH102" s="160"/>
    </row>
  </sheetData>
  <autoFilter ref="A23:BH102"/>
  <mergeCells count="27">
    <mergeCell ref="AD20:AH21"/>
    <mergeCell ref="AI20:AM21"/>
    <mergeCell ref="AN20:AR21"/>
    <mergeCell ref="AS20:AW21"/>
    <mergeCell ref="B18:B22"/>
    <mergeCell ref="E19:AC19"/>
    <mergeCell ref="E20:I21"/>
    <mergeCell ref="J20:N21"/>
    <mergeCell ref="O20:S21"/>
    <mergeCell ref="T20:X21"/>
    <mergeCell ref="Y20:AC21"/>
    <mergeCell ref="BH18:BH21"/>
    <mergeCell ref="A102:C102"/>
    <mergeCell ref="AX20:BB21"/>
    <mergeCell ref="AD19:BB19"/>
    <mergeCell ref="A6:P6"/>
    <mergeCell ref="A7:P7"/>
    <mergeCell ref="A8:P8"/>
    <mergeCell ref="A10:P10"/>
    <mergeCell ref="A12:P12"/>
    <mergeCell ref="A14:P14"/>
    <mergeCell ref="A15:P15"/>
    <mergeCell ref="BC18:BG21"/>
    <mergeCell ref="D18:D22"/>
    <mergeCell ref="C18:C22"/>
    <mergeCell ref="A18:A22"/>
    <mergeCell ref="E18:BB18"/>
  </mergeCells>
  <pageMargins left="0.21" right="0.2" top="0.3" bottom="0.25" header="0.31496062992125984" footer="0.31496062992125984"/>
  <pageSetup paperSize="9" scale="23" fitToHeight="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112"/>
  <sheetViews>
    <sheetView topLeftCell="Y1" zoomScale="60" zoomScaleNormal="60" workbookViewId="0">
      <selection activeCell="BD15" sqref="BD15"/>
    </sheetView>
  </sheetViews>
  <sheetFormatPr defaultRowHeight="15.75" outlineLevelCol="1"/>
  <cols>
    <col min="1" max="1" width="9.140625" style="71"/>
    <col min="2" max="2" width="43.42578125" style="57" customWidth="1"/>
    <col min="3" max="3" width="24.7109375" style="71" customWidth="1"/>
    <col min="4" max="4" width="15" style="71" customWidth="1"/>
    <col min="5" max="9" width="11.7109375" style="71" customWidth="1"/>
    <col min="10" max="29" width="11.7109375" style="71" customWidth="1" outlineLevel="1"/>
    <col min="30" max="30" width="11.28515625" style="517" customWidth="1"/>
    <col min="31" max="35" width="11.7109375" style="71" customWidth="1"/>
    <col min="36" max="55" width="11.7109375" style="71" customWidth="1" outlineLevel="1"/>
  </cols>
  <sheetData>
    <row r="1" spans="1:55">
      <c r="I1" s="57"/>
      <c r="AZ1" s="57" t="s">
        <v>605</v>
      </c>
    </row>
    <row r="2" spans="1:55">
      <c r="I2" s="57"/>
      <c r="AZ2" s="57" t="s">
        <v>23</v>
      </c>
    </row>
    <row r="3" spans="1:55">
      <c r="I3" s="57"/>
      <c r="AZ3" s="57" t="s">
        <v>24</v>
      </c>
    </row>
    <row r="6" spans="1:55">
      <c r="A6" s="699" t="s">
        <v>603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99"/>
      <c r="AL6" s="699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699"/>
      <c r="AX6" s="699"/>
      <c r="AY6" s="699"/>
      <c r="AZ6" s="699"/>
      <c r="BA6" s="699"/>
      <c r="BB6" s="699"/>
      <c r="BC6" s="699"/>
    </row>
    <row r="7" spans="1:55">
      <c r="A7" s="699" t="s">
        <v>604</v>
      </c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699"/>
      <c r="AE7" s="699"/>
      <c r="AF7" s="699"/>
      <c r="AG7" s="699"/>
      <c r="AH7" s="699"/>
      <c r="AI7" s="699"/>
      <c r="AJ7" s="699"/>
      <c r="AK7" s="699"/>
      <c r="AL7" s="699"/>
      <c r="AM7" s="699"/>
      <c r="AN7" s="699"/>
      <c r="AO7" s="699"/>
      <c r="AP7" s="699"/>
      <c r="AQ7" s="699"/>
      <c r="AR7" s="699"/>
      <c r="AS7" s="699"/>
      <c r="AT7" s="699"/>
      <c r="AU7" s="699"/>
      <c r="AV7" s="699"/>
      <c r="AW7" s="699"/>
      <c r="AX7" s="699"/>
      <c r="AY7" s="699"/>
      <c r="AZ7" s="699"/>
      <c r="BA7" s="699"/>
      <c r="BB7" s="699"/>
      <c r="BC7" s="699"/>
    </row>
    <row r="8" spans="1:55">
      <c r="A8" s="699" t="s">
        <v>1188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699"/>
      <c r="AE8" s="699"/>
      <c r="AF8" s="699"/>
      <c r="AG8" s="699"/>
      <c r="AH8" s="699"/>
      <c r="AI8" s="699"/>
      <c r="AJ8" s="699"/>
      <c r="AK8" s="699"/>
      <c r="AL8" s="699"/>
      <c r="AM8" s="699"/>
      <c r="AN8" s="699"/>
      <c r="AO8" s="699"/>
      <c r="AP8" s="699"/>
      <c r="AQ8" s="699"/>
      <c r="AR8" s="699"/>
      <c r="AS8" s="699"/>
      <c r="AT8" s="699"/>
      <c r="AU8" s="699"/>
      <c r="AV8" s="699"/>
      <c r="AW8" s="699"/>
      <c r="AX8" s="699"/>
      <c r="AY8" s="699"/>
      <c r="AZ8" s="699"/>
      <c r="BA8" s="699"/>
      <c r="BB8" s="699"/>
      <c r="BC8" s="699"/>
    </row>
    <row r="10" spans="1:55">
      <c r="A10" s="700" t="s">
        <v>727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</row>
    <row r="12" spans="1:55">
      <c r="A12" s="697" t="s">
        <v>725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</row>
    <row r="14" spans="1:55">
      <c r="A14" s="697" t="s">
        <v>34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</row>
    <row r="15" spans="1:55">
      <c r="A15" s="698" t="s">
        <v>1190</v>
      </c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</row>
    <row r="18" spans="1:55">
      <c r="A18" s="715" t="s">
        <v>0</v>
      </c>
      <c r="B18" s="718" t="s">
        <v>1</v>
      </c>
      <c r="C18" s="715" t="s">
        <v>2</v>
      </c>
      <c r="D18" s="695" t="s">
        <v>738</v>
      </c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5"/>
      <c r="AB18" s="695"/>
      <c r="AC18" s="695"/>
      <c r="AD18" s="695" t="s">
        <v>739</v>
      </c>
      <c r="AE18" s="695"/>
      <c r="AF18" s="695"/>
      <c r="AG18" s="695"/>
      <c r="AH18" s="695"/>
      <c r="AI18" s="695"/>
      <c r="AJ18" s="695"/>
      <c r="AK18" s="695"/>
      <c r="AL18" s="695"/>
      <c r="AM18" s="695"/>
      <c r="AN18" s="695"/>
      <c r="AO18" s="695"/>
      <c r="AP18" s="695"/>
      <c r="AQ18" s="695"/>
      <c r="AR18" s="695"/>
      <c r="AS18" s="695"/>
      <c r="AT18" s="695"/>
      <c r="AU18" s="695"/>
      <c r="AV18" s="695"/>
      <c r="AW18" s="695"/>
      <c r="AX18" s="695"/>
      <c r="AY18" s="695"/>
      <c r="AZ18" s="695"/>
      <c r="BA18" s="695"/>
      <c r="BB18" s="695"/>
      <c r="BC18" s="695"/>
    </row>
    <row r="19" spans="1:55">
      <c r="A19" s="716"/>
      <c r="B19" s="716"/>
      <c r="C19" s="716"/>
      <c r="D19" s="66" t="s">
        <v>11</v>
      </c>
      <c r="E19" s="695" t="s">
        <v>12</v>
      </c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5"/>
      <c r="AB19" s="695"/>
      <c r="AC19" s="695"/>
      <c r="AD19" s="516" t="s">
        <v>11</v>
      </c>
      <c r="AE19" s="695" t="s">
        <v>12</v>
      </c>
      <c r="AF19" s="695"/>
      <c r="AG19" s="695"/>
      <c r="AH19" s="695"/>
      <c r="AI19" s="695"/>
      <c r="AJ19" s="695"/>
      <c r="AK19" s="695"/>
      <c r="AL19" s="695"/>
      <c r="AM19" s="695"/>
      <c r="AN19" s="695"/>
      <c r="AO19" s="695"/>
      <c r="AP19" s="695"/>
      <c r="AQ19" s="695"/>
      <c r="AR19" s="695"/>
      <c r="AS19" s="695"/>
      <c r="AT19" s="695"/>
      <c r="AU19" s="695"/>
      <c r="AV19" s="695"/>
      <c r="AW19" s="695"/>
      <c r="AX19" s="695"/>
      <c r="AY19" s="695"/>
      <c r="AZ19" s="695"/>
      <c r="BA19" s="695"/>
      <c r="BB19" s="695"/>
      <c r="BC19" s="695"/>
    </row>
    <row r="20" spans="1:55">
      <c r="A20" s="716"/>
      <c r="B20" s="716"/>
      <c r="C20" s="716"/>
      <c r="D20" s="695" t="s">
        <v>485</v>
      </c>
      <c r="E20" s="695" t="s">
        <v>485</v>
      </c>
      <c r="F20" s="695"/>
      <c r="G20" s="695"/>
      <c r="H20" s="695"/>
      <c r="I20" s="695"/>
      <c r="J20" s="695" t="s">
        <v>486</v>
      </c>
      <c r="K20" s="695"/>
      <c r="L20" s="695"/>
      <c r="M20" s="695"/>
      <c r="N20" s="695"/>
      <c r="O20" s="695" t="s">
        <v>487</v>
      </c>
      <c r="P20" s="695"/>
      <c r="Q20" s="695"/>
      <c r="R20" s="695"/>
      <c r="S20" s="695"/>
      <c r="T20" s="695" t="s">
        <v>488</v>
      </c>
      <c r="U20" s="695"/>
      <c r="V20" s="695"/>
      <c r="W20" s="695"/>
      <c r="X20" s="695"/>
      <c r="Y20" s="695" t="s">
        <v>489</v>
      </c>
      <c r="Z20" s="695"/>
      <c r="AA20" s="695"/>
      <c r="AB20" s="695"/>
      <c r="AC20" s="695"/>
      <c r="AD20" s="695" t="s">
        <v>485</v>
      </c>
      <c r="AE20" s="695" t="s">
        <v>485</v>
      </c>
      <c r="AF20" s="695"/>
      <c r="AG20" s="695"/>
      <c r="AH20" s="695"/>
      <c r="AI20" s="695"/>
      <c r="AJ20" s="695" t="s">
        <v>486</v>
      </c>
      <c r="AK20" s="695"/>
      <c r="AL20" s="695"/>
      <c r="AM20" s="695"/>
      <c r="AN20" s="695"/>
      <c r="AO20" s="695" t="s">
        <v>487</v>
      </c>
      <c r="AP20" s="695"/>
      <c r="AQ20" s="695"/>
      <c r="AR20" s="695"/>
      <c r="AS20" s="695"/>
      <c r="AT20" s="695" t="s">
        <v>488</v>
      </c>
      <c r="AU20" s="695"/>
      <c r="AV20" s="695"/>
      <c r="AW20" s="695"/>
      <c r="AX20" s="695"/>
      <c r="AY20" s="695" t="s">
        <v>489</v>
      </c>
      <c r="AZ20" s="695"/>
      <c r="BA20" s="695"/>
      <c r="BB20" s="695"/>
      <c r="BC20" s="695"/>
    </row>
    <row r="21" spans="1:55" ht="126">
      <c r="A21" s="717"/>
      <c r="B21" s="717"/>
      <c r="C21" s="717"/>
      <c r="D21" s="695"/>
      <c r="E21" s="66" t="s">
        <v>606</v>
      </c>
      <c r="F21" s="66" t="s">
        <v>607</v>
      </c>
      <c r="G21" s="66" t="s">
        <v>608</v>
      </c>
      <c r="H21" s="66" t="s">
        <v>609</v>
      </c>
      <c r="I21" s="66" t="s">
        <v>610</v>
      </c>
      <c r="J21" s="66" t="s">
        <v>606</v>
      </c>
      <c r="K21" s="66" t="s">
        <v>607</v>
      </c>
      <c r="L21" s="66" t="s">
        <v>608</v>
      </c>
      <c r="M21" s="66" t="s">
        <v>609</v>
      </c>
      <c r="N21" s="66" t="s">
        <v>610</v>
      </c>
      <c r="O21" s="66" t="s">
        <v>606</v>
      </c>
      <c r="P21" s="66" t="s">
        <v>607</v>
      </c>
      <c r="Q21" s="66" t="s">
        <v>608</v>
      </c>
      <c r="R21" s="66" t="s">
        <v>609</v>
      </c>
      <c r="S21" s="66" t="s">
        <v>610</v>
      </c>
      <c r="T21" s="66" t="s">
        <v>606</v>
      </c>
      <c r="U21" s="66" t="s">
        <v>607</v>
      </c>
      <c r="V21" s="66" t="s">
        <v>608</v>
      </c>
      <c r="W21" s="66" t="s">
        <v>609</v>
      </c>
      <c r="X21" s="66" t="s">
        <v>610</v>
      </c>
      <c r="Y21" s="66" t="s">
        <v>606</v>
      </c>
      <c r="Z21" s="66" t="s">
        <v>607</v>
      </c>
      <c r="AA21" s="66" t="s">
        <v>608</v>
      </c>
      <c r="AB21" s="66" t="s">
        <v>609</v>
      </c>
      <c r="AC21" s="66" t="s">
        <v>610</v>
      </c>
      <c r="AD21" s="695"/>
      <c r="AE21" s="66" t="s">
        <v>606</v>
      </c>
      <c r="AF21" s="66" t="s">
        <v>607</v>
      </c>
      <c r="AG21" s="66" t="s">
        <v>608</v>
      </c>
      <c r="AH21" s="66" t="s">
        <v>609</v>
      </c>
      <c r="AI21" s="66" t="s">
        <v>610</v>
      </c>
      <c r="AJ21" s="66" t="s">
        <v>606</v>
      </c>
      <c r="AK21" s="66" t="s">
        <v>607</v>
      </c>
      <c r="AL21" s="66" t="s">
        <v>608</v>
      </c>
      <c r="AM21" s="66" t="s">
        <v>609</v>
      </c>
      <c r="AN21" s="66" t="s">
        <v>610</v>
      </c>
      <c r="AO21" s="66" t="s">
        <v>606</v>
      </c>
      <c r="AP21" s="66" t="s">
        <v>607</v>
      </c>
      <c r="AQ21" s="66" t="s">
        <v>608</v>
      </c>
      <c r="AR21" s="66" t="s">
        <v>609</v>
      </c>
      <c r="AS21" s="66" t="s">
        <v>610</v>
      </c>
      <c r="AT21" s="66" t="s">
        <v>606</v>
      </c>
      <c r="AU21" s="66" t="s">
        <v>607</v>
      </c>
      <c r="AV21" s="66" t="s">
        <v>608</v>
      </c>
      <c r="AW21" s="66" t="s">
        <v>609</v>
      </c>
      <c r="AX21" s="66" t="s">
        <v>610</v>
      </c>
      <c r="AY21" s="66" t="s">
        <v>606</v>
      </c>
      <c r="AZ21" s="66" t="s">
        <v>607</v>
      </c>
      <c r="BA21" s="66" t="s">
        <v>608</v>
      </c>
      <c r="BB21" s="66" t="s">
        <v>609</v>
      </c>
      <c r="BC21" s="66" t="s">
        <v>610</v>
      </c>
    </row>
    <row r="22" spans="1:55">
      <c r="A22" s="66">
        <v>1</v>
      </c>
      <c r="B22" s="162">
        <v>2</v>
      </c>
      <c r="C22" s="66">
        <v>3</v>
      </c>
      <c r="D22" s="66">
        <v>4</v>
      </c>
      <c r="E22" s="66" t="s">
        <v>501</v>
      </c>
      <c r="F22" s="66" t="s">
        <v>502</v>
      </c>
      <c r="G22" s="66" t="s">
        <v>503</v>
      </c>
      <c r="H22" s="66" t="s">
        <v>504</v>
      </c>
      <c r="I22" s="66" t="s">
        <v>505</v>
      </c>
      <c r="J22" s="66" t="s">
        <v>508</v>
      </c>
      <c r="K22" s="66" t="s">
        <v>509</v>
      </c>
      <c r="L22" s="66" t="s">
        <v>510</v>
      </c>
      <c r="M22" s="66" t="s">
        <v>511</v>
      </c>
      <c r="N22" s="66" t="s">
        <v>512</v>
      </c>
      <c r="O22" s="66" t="s">
        <v>515</v>
      </c>
      <c r="P22" s="66" t="s">
        <v>516</v>
      </c>
      <c r="Q22" s="66" t="s">
        <v>517</v>
      </c>
      <c r="R22" s="66" t="s">
        <v>518</v>
      </c>
      <c r="S22" s="66" t="s">
        <v>519</v>
      </c>
      <c r="T22" s="66" t="s">
        <v>522</v>
      </c>
      <c r="U22" s="66" t="s">
        <v>523</v>
      </c>
      <c r="V22" s="66" t="s">
        <v>524</v>
      </c>
      <c r="W22" s="66" t="s">
        <v>525</v>
      </c>
      <c r="X22" s="66" t="s">
        <v>526</v>
      </c>
      <c r="Y22" s="66" t="s">
        <v>529</v>
      </c>
      <c r="Z22" s="66" t="s">
        <v>530</v>
      </c>
      <c r="AA22" s="66" t="s">
        <v>531</v>
      </c>
      <c r="AB22" s="66" t="s">
        <v>532</v>
      </c>
      <c r="AC22" s="66" t="s">
        <v>533</v>
      </c>
      <c r="AD22" s="516">
        <v>6</v>
      </c>
      <c r="AE22" s="66" t="s">
        <v>574</v>
      </c>
      <c r="AF22" s="66" t="s">
        <v>575</v>
      </c>
      <c r="AG22" s="66" t="s">
        <v>576</v>
      </c>
      <c r="AH22" s="66" t="s">
        <v>577</v>
      </c>
      <c r="AI22" s="66" t="s">
        <v>578</v>
      </c>
      <c r="AJ22" s="66" t="s">
        <v>611</v>
      </c>
      <c r="AK22" s="66" t="s">
        <v>612</v>
      </c>
      <c r="AL22" s="66" t="s">
        <v>613</v>
      </c>
      <c r="AM22" s="66" t="s">
        <v>614</v>
      </c>
      <c r="AN22" s="66" t="s">
        <v>615</v>
      </c>
      <c r="AO22" s="66" t="s">
        <v>616</v>
      </c>
      <c r="AP22" s="66" t="s">
        <v>617</v>
      </c>
      <c r="AQ22" s="66" t="s">
        <v>618</v>
      </c>
      <c r="AR22" s="66" t="s">
        <v>619</v>
      </c>
      <c r="AS22" s="66" t="s">
        <v>620</v>
      </c>
      <c r="AT22" s="66" t="s">
        <v>737</v>
      </c>
      <c r="AU22" s="66" t="s">
        <v>621</v>
      </c>
      <c r="AV22" s="66" t="s">
        <v>622</v>
      </c>
      <c r="AW22" s="66" t="s">
        <v>623</v>
      </c>
      <c r="AX22" s="66" t="s">
        <v>624</v>
      </c>
      <c r="AY22" s="66" t="s">
        <v>625</v>
      </c>
      <c r="AZ22" s="66" t="s">
        <v>626</v>
      </c>
      <c r="BA22" s="66" t="s">
        <v>627</v>
      </c>
      <c r="BB22" s="66" t="s">
        <v>628</v>
      </c>
      <c r="BC22" s="66" t="s">
        <v>629</v>
      </c>
    </row>
    <row r="23" spans="1:55" ht="31.5">
      <c r="A23" s="236">
        <v>0</v>
      </c>
      <c r="B23" s="197" t="s">
        <v>21</v>
      </c>
      <c r="C23" s="198" t="s">
        <v>876</v>
      </c>
      <c r="D23" s="172">
        <f>SUM(D24:D29)</f>
        <v>27.223721273001797</v>
      </c>
      <c r="E23" s="173">
        <f>J23+O23+T23+Y23</f>
        <v>19.704207362000002</v>
      </c>
      <c r="F23" s="173">
        <f>K23+P23+U23+Z23</f>
        <v>1.5150795337999998</v>
      </c>
      <c r="G23" s="173">
        <f>L23+Q23+V23+AA23</f>
        <v>5.7021686424000002</v>
      </c>
      <c r="H23" s="173">
        <f>M23+R23+W23+AB23</f>
        <v>3.5524793128000001</v>
      </c>
      <c r="I23" s="173">
        <f>N23+S23+X23+AC23</f>
        <v>8.934479872999999</v>
      </c>
      <c r="J23" s="173">
        <f>SUM(K23:N23)</f>
        <v>8.8245349554000008</v>
      </c>
      <c r="K23" s="174">
        <f>K24+K25+K26+K27+K28+K29</f>
        <v>0.63507963440000004</v>
      </c>
      <c r="L23" s="174">
        <f>L24+L25+L26+L27+L28+L29</f>
        <v>3.8707122680000001</v>
      </c>
      <c r="M23" s="174">
        <f>M24+M25+M26+M27+M28+M29</f>
        <v>0.57724975999999995</v>
      </c>
      <c r="N23" s="174">
        <f>N24+N25+N26+N27+N28+N29</f>
        <v>3.7414932930000004</v>
      </c>
      <c r="O23" s="173">
        <f>SUM(P23:S23)</f>
        <v>5.3273367962</v>
      </c>
      <c r="P23" s="174">
        <f>P24+P25+P26+P27+P28+P29</f>
        <v>0.20699988539999997</v>
      </c>
      <c r="Q23" s="174">
        <f>Q24+Q25+Q26+Q27+Q28+Q29</f>
        <v>1.3252706808000001</v>
      </c>
      <c r="R23" s="174">
        <f>R24+R25+R26+R27+R28+R29</f>
        <v>1.1235729399999999</v>
      </c>
      <c r="S23" s="174">
        <f>S24+S25+S26+S27+S28+S29</f>
        <v>2.6714932899999999</v>
      </c>
      <c r="T23" s="173">
        <f>SUM(U23:X23)</f>
        <v>2.7996412846000003</v>
      </c>
      <c r="U23" s="174">
        <f>U24+U25+U26+U27+U28+U29</f>
        <v>0.36200001400000004</v>
      </c>
      <c r="V23" s="174">
        <f>V24+V25+V26+V27+V28+V29</f>
        <v>0.36944243480000005</v>
      </c>
      <c r="W23" s="174">
        <f>W24+W25+W26+W27+W28+W29</f>
        <v>0.4517055458</v>
      </c>
      <c r="X23" s="174">
        <f>X24+X25+X26+X27+X28+X29</f>
        <v>1.6164932900000002</v>
      </c>
      <c r="Y23" s="173">
        <f>SUM(Z23:AC23)</f>
        <v>2.7526943258000003</v>
      </c>
      <c r="Z23" s="174">
        <f>Z24+Z25+Z26+Z27+Z28+Z29</f>
        <v>0.311</v>
      </c>
      <c r="AA23" s="174">
        <f>AA24+AA25+AA26+AA27+AA28+AA29</f>
        <v>0.13674325879999999</v>
      </c>
      <c r="AB23" s="174">
        <f>AB24+AB25+AB26+AB27+AB28+AB29</f>
        <v>1.3999510670000002</v>
      </c>
      <c r="AC23" s="174">
        <f>AC24+AC25+AC26+AC27+AC28+AC29</f>
        <v>0.90500000000000003</v>
      </c>
      <c r="AD23" s="172">
        <f>SUM(AD24:AD29)</f>
        <v>19.049248063559322</v>
      </c>
      <c r="AE23" s="173">
        <f>SUM(AF23:AI23)</f>
        <v>18.548785825559325</v>
      </c>
      <c r="AF23" s="173">
        <f>SUM(AF24:AF29)</f>
        <v>1.4202707920000002</v>
      </c>
      <c r="AG23" s="173">
        <f t="shared" ref="AG23:AI23" si="0">SUM(AG24:AG29)</f>
        <v>1.2783718828813559</v>
      </c>
      <c r="AH23" s="173">
        <f t="shared" si="0"/>
        <v>7.2792876294915265</v>
      </c>
      <c r="AI23" s="173">
        <f t="shared" si="0"/>
        <v>8.5708555211864415</v>
      </c>
      <c r="AJ23" s="173">
        <f>SUM(AK23:AN23)</f>
        <v>3.9937327472881359</v>
      </c>
      <c r="AK23" s="174">
        <f>AK24+AK25+AK26+AK27+AK28+AK29</f>
        <v>0.57220307999999998</v>
      </c>
      <c r="AL23" s="174">
        <f t="shared" ref="AL23:AN23" si="1">AL24+AL25+AL26+AL27+AL28+AL29</f>
        <v>5.3110139999999993E-2</v>
      </c>
      <c r="AM23" s="174">
        <f t="shared" si="1"/>
        <v>8.2432000000000005E-2</v>
      </c>
      <c r="AN23" s="174">
        <f t="shared" si="1"/>
        <v>3.2859875272881358</v>
      </c>
      <c r="AO23" s="173">
        <f>SUM(AP23:AS23)</f>
        <v>3.4187673822033906</v>
      </c>
      <c r="AP23" s="174">
        <f>AP24+AP25+AP26+AP27+AP28+AP29</f>
        <v>9.7457530000000001E-2</v>
      </c>
      <c r="AQ23" s="174">
        <f t="shared" ref="AQ23:AS23" si="2">AQ24+AQ25+AQ26+AQ27+AQ28+AQ29</f>
        <v>0.10515203016949154</v>
      </c>
      <c r="AR23" s="174">
        <f t="shared" si="2"/>
        <v>0.95218045762711878</v>
      </c>
      <c r="AS23" s="174">
        <f t="shared" si="2"/>
        <v>2.26397736440678</v>
      </c>
      <c r="AT23" s="109">
        <f>SUM(AU23:AX23)</f>
        <v>2.4433535977966105</v>
      </c>
      <c r="AU23" s="113">
        <f>AU24+AU25+AU26+AU27+AU28+AU29</f>
        <v>0.3162373</v>
      </c>
      <c r="AV23" s="113">
        <f>AV24+AV25+AV26+AV27+AV28+AV29</f>
        <v>0.37440541999999999</v>
      </c>
      <c r="AW23" s="113">
        <f>AW24+AW25+AW26+AW27+AW28+AW29</f>
        <v>0.38280131000000001</v>
      </c>
      <c r="AX23" s="113">
        <f>AX24+AX25+AX26+AX27+AX28+AX29</f>
        <v>1.3699095677966102</v>
      </c>
      <c r="AY23" s="113">
        <f>SUM(AZ23:BC23)</f>
        <v>8.6929320982711857</v>
      </c>
      <c r="AZ23" s="113">
        <f>AZ24+AZ25+AZ26+AZ27+AZ28+AZ29</f>
        <v>0.43437288200000002</v>
      </c>
      <c r="BA23" s="113">
        <f t="shared" ref="BA23:BC23" si="3">BA24+BA25+BA26+BA27+BA28+BA29</f>
        <v>0.74570429271186434</v>
      </c>
      <c r="BB23" s="113">
        <f t="shared" si="3"/>
        <v>5.8618738618644075</v>
      </c>
      <c r="BC23" s="113">
        <f t="shared" si="3"/>
        <v>1.6509810616949148</v>
      </c>
    </row>
    <row r="24" spans="1:55">
      <c r="A24" s="236" t="s">
        <v>877</v>
      </c>
      <c r="B24" s="197" t="s">
        <v>878</v>
      </c>
      <c r="C24" s="198" t="s">
        <v>876</v>
      </c>
      <c r="D24" s="172">
        <f>D30</f>
        <v>4.7309032000000002</v>
      </c>
      <c r="E24" s="173">
        <f>J24+O24+T24+Y24</f>
        <v>3.3264439489999997</v>
      </c>
      <c r="F24" s="173">
        <f t="shared" ref="F24:F96" si="4">K24+P24+U24+Z24</f>
        <v>0.84499953380000004</v>
      </c>
      <c r="G24" s="173">
        <f t="shared" ref="G24:G96" si="5">L24+Q24+V24+AA24</f>
        <v>0.67749001240000006</v>
      </c>
      <c r="H24" s="173">
        <f t="shared" ref="H24:H96" si="6">M24+R24+W24+AB24</f>
        <v>1.8039544027999999</v>
      </c>
      <c r="I24" s="173">
        <f t="shared" ref="I24:I96" si="7">N24+S24+X24+AC24</f>
        <v>0</v>
      </c>
      <c r="J24" s="173">
        <f>SUM(K24:N24)</f>
        <v>0.36643573239999994</v>
      </c>
      <c r="K24" s="174">
        <f>K30+K56+K59+K68</f>
        <v>0.21499963439999997</v>
      </c>
      <c r="L24" s="174">
        <f>L30+L56+L59+L68</f>
        <v>5.4166338000000001E-2</v>
      </c>
      <c r="M24" s="174">
        <f>M30+M56+M59+M68</f>
        <v>9.7269759999999983E-2</v>
      </c>
      <c r="N24" s="174">
        <f>N30+N56+N59+N68</f>
        <v>0</v>
      </c>
      <c r="O24" s="173">
        <f t="shared" ref="O24:O96" si="8">SUM(P24:S24)</f>
        <v>1.4477108061999999</v>
      </c>
      <c r="P24" s="174">
        <f>P30+P56+P59+P68</f>
        <v>0.20699988539999997</v>
      </c>
      <c r="Q24" s="174">
        <f>Q30+Q56+Q59+Q68</f>
        <v>0.11713798080000003</v>
      </c>
      <c r="R24" s="174">
        <f>R30+R56+R59+R68</f>
        <v>1.1235729399999999</v>
      </c>
      <c r="S24" s="174">
        <f>S30+S56+S59+S68</f>
        <v>0</v>
      </c>
      <c r="T24" s="173">
        <f>SUM(U24:X24)</f>
        <v>1.1831479946000001</v>
      </c>
      <c r="U24" s="174">
        <f>U30+U56+U59+U68</f>
        <v>0.36200001400000004</v>
      </c>
      <c r="V24" s="174">
        <f>V30+V56+V59+V68</f>
        <v>0.36944243480000005</v>
      </c>
      <c r="W24" s="174">
        <f>W30+W56+W59+W68</f>
        <v>0.4517055458</v>
      </c>
      <c r="X24" s="174">
        <f>X30+X56+X59+X68</f>
        <v>0</v>
      </c>
      <c r="Y24" s="173">
        <f>SUM(Z24:AC24)</f>
        <v>0.32914941580000001</v>
      </c>
      <c r="Z24" s="174">
        <f>Z30+Z56+Z59+Z68</f>
        <v>6.0999999999999999E-2</v>
      </c>
      <c r="AA24" s="174">
        <f>AA30+AA56+AA59+AA68</f>
        <v>0.13674325879999999</v>
      </c>
      <c r="AB24" s="174">
        <f>AB30+AB56+AB59+AB68</f>
        <v>0.131406157</v>
      </c>
      <c r="AC24" s="174">
        <f>AC30+AC56+AC59+AC68</f>
        <v>0</v>
      </c>
      <c r="AD24" s="172">
        <f>AD30</f>
        <v>4.0092400000000001</v>
      </c>
      <c r="AE24" s="173">
        <f>SUM(AF24:AI24)</f>
        <v>3.8056319986440683</v>
      </c>
      <c r="AF24" s="173">
        <f>AK24+AP24+AU24+AZ24</f>
        <v>0.78789791000000009</v>
      </c>
      <c r="AG24" s="173">
        <f t="shared" ref="AG24:AG96" si="9">AL24+AQ24+AV24+BA24</f>
        <v>0.75696764559322027</v>
      </c>
      <c r="AH24" s="173">
        <f t="shared" ref="AH24:AH96" si="10">AM24+AR24+AW24+BB24</f>
        <v>2.2607664430508478</v>
      </c>
      <c r="AI24" s="173">
        <f t="shared" ref="AI24:AI96" si="11">AN24+AS24+AX24+BC24</f>
        <v>0</v>
      </c>
      <c r="AJ24" s="173">
        <f t="shared" ref="AJ24:AJ29" si="12">SUM(AK24:AN24)</f>
        <v>0.31774522000000005</v>
      </c>
      <c r="AK24" s="174">
        <f>AK30+AK56+AK59+AK68</f>
        <v>0.18220308000000002</v>
      </c>
      <c r="AL24" s="174">
        <f>AL30+AL56+AL59+AL68</f>
        <v>5.3110139999999993E-2</v>
      </c>
      <c r="AM24" s="174">
        <f>AM30+AM56+AM59+AM68</f>
        <v>8.2432000000000005E-2</v>
      </c>
      <c r="AN24" s="174">
        <f>AN30+AN56+AN59+AN68</f>
        <v>0</v>
      </c>
      <c r="AO24" s="173">
        <f t="shared" ref="AO24:AO29" si="13">SUM(AP24:AS24)</f>
        <v>1.1547900177966104</v>
      </c>
      <c r="AP24" s="174">
        <f>AP30+AP56+AP59+AP68</f>
        <v>9.7457530000000001E-2</v>
      </c>
      <c r="AQ24" s="174">
        <f>AQ30+AQ56+AQ59+AQ68</f>
        <v>0.10515203016949154</v>
      </c>
      <c r="AR24" s="174">
        <f>AR30+AR56+AR59+AR68</f>
        <v>0.95218045762711878</v>
      </c>
      <c r="AS24" s="174">
        <f>AS30+AS56+AS59+AS68</f>
        <v>0</v>
      </c>
      <c r="AT24" s="109">
        <f t="shared" ref="AT24:AT29" si="14">SUM(AU24:AX24)</f>
        <v>1.0734440300000001</v>
      </c>
      <c r="AU24" s="113">
        <f>AU30+AU56+AU59+AU68</f>
        <v>0.3162373</v>
      </c>
      <c r="AV24" s="113">
        <f>AV30+AV56+AV59+AV68</f>
        <v>0.37440541999999999</v>
      </c>
      <c r="AW24" s="113">
        <f>AW30+AW56+AW59+AW68</f>
        <v>0.38280131000000001</v>
      </c>
      <c r="AX24" s="113">
        <f>AX30+AX56+AX59+AX68</f>
        <v>0</v>
      </c>
      <c r="AY24" s="113">
        <f t="shared" ref="AY24:AY29" si="15">SUM(AZ24:BC24)</f>
        <v>1.2596527308474577</v>
      </c>
      <c r="AZ24" s="113">
        <f>AZ30+AZ56+AZ59+AZ68</f>
        <v>0.192</v>
      </c>
      <c r="BA24" s="113">
        <f>BA30+BA56+BA59+BA68</f>
        <v>0.2243000554237288</v>
      </c>
      <c r="BB24" s="113">
        <f>BB30+BB56+BB59+BB68</f>
        <v>0.84335267542372894</v>
      </c>
      <c r="BC24" s="113">
        <f>BC30+BC56+BC59+BC68</f>
        <v>0</v>
      </c>
    </row>
    <row r="25" spans="1:55" s="105" customFormat="1" ht="47.25">
      <c r="A25" s="236" t="s">
        <v>879</v>
      </c>
      <c r="B25" s="197" t="s">
        <v>880</v>
      </c>
      <c r="C25" s="198" t="s">
        <v>876</v>
      </c>
      <c r="D25" s="172">
        <f>D71</f>
        <v>11.766400600001797</v>
      </c>
      <c r="E25" s="173">
        <f>J25+O25+T25+Y25</f>
        <v>5.6513459399999997</v>
      </c>
      <c r="F25" s="173">
        <f t="shared" si="4"/>
        <v>0.67008000000000001</v>
      </c>
      <c r="G25" s="173">
        <f t="shared" si="5"/>
        <v>3.2327410300000001</v>
      </c>
      <c r="H25" s="173">
        <f t="shared" si="6"/>
        <v>1.7485249100000002</v>
      </c>
      <c r="I25" s="173">
        <f t="shared" si="7"/>
        <v>0</v>
      </c>
      <c r="J25" s="173">
        <f t="shared" ref="J25:J96" si="16">SUM(K25:N25)</f>
        <v>2.9246683299999998</v>
      </c>
      <c r="K25" s="174">
        <f>K71</f>
        <v>0.42008000000000001</v>
      </c>
      <c r="L25" s="174">
        <f>L71</f>
        <v>2.02460833</v>
      </c>
      <c r="M25" s="174">
        <f>M71</f>
        <v>0.47998000000000002</v>
      </c>
      <c r="N25" s="174">
        <f>N71</f>
        <v>0</v>
      </c>
      <c r="O25" s="173">
        <f t="shared" si="8"/>
        <v>1.2081327000000002</v>
      </c>
      <c r="P25" s="174">
        <f>P71</f>
        <v>0</v>
      </c>
      <c r="Q25" s="174">
        <f>Q71</f>
        <v>1.2081327000000002</v>
      </c>
      <c r="R25" s="174">
        <f>R71</f>
        <v>0</v>
      </c>
      <c r="S25" s="174">
        <f>S71</f>
        <v>0</v>
      </c>
      <c r="T25" s="173">
        <f t="shared" ref="T25:T96" si="17">SUM(U25:X25)</f>
        <v>0</v>
      </c>
      <c r="U25" s="174">
        <f>U71</f>
        <v>0</v>
      </c>
      <c r="V25" s="174">
        <f>V71</f>
        <v>0</v>
      </c>
      <c r="W25" s="174">
        <f>W71</f>
        <v>0</v>
      </c>
      <c r="X25" s="174">
        <f>X71</f>
        <v>0</v>
      </c>
      <c r="Y25" s="173">
        <f t="shared" ref="Y25:Y96" si="18">SUM(Z25:AC25)</f>
        <v>1.5185449100000001</v>
      </c>
      <c r="Z25" s="174">
        <f>Z71</f>
        <v>0.25</v>
      </c>
      <c r="AA25" s="174">
        <f>AA71</f>
        <v>0</v>
      </c>
      <c r="AB25" s="174">
        <f>AB71</f>
        <v>1.2685449100000001</v>
      </c>
      <c r="AC25" s="174">
        <f>AC71</f>
        <v>0</v>
      </c>
      <c r="AD25" s="172">
        <f>AD71</f>
        <v>6.4691525423728802</v>
      </c>
      <c r="AE25" s="173">
        <f t="shared" ref="AE25:AE29" si="19">SUM(AF25:AI25)</f>
        <v>6.1722983057288143</v>
      </c>
      <c r="AF25" s="173">
        <f>AK25+AP25+AU25+AZ25</f>
        <v>0.63237288200000008</v>
      </c>
      <c r="AG25" s="173">
        <f t="shared" si="9"/>
        <v>0.52140423728813556</v>
      </c>
      <c r="AH25" s="173">
        <f t="shared" si="10"/>
        <v>5.0185211864406787</v>
      </c>
      <c r="AI25" s="173">
        <f t="shared" si="11"/>
        <v>0</v>
      </c>
      <c r="AJ25" s="173">
        <f t="shared" si="12"/>
        <v>0.39</v>
      </c>
      <c r="AK25" s="174">
        <f>AK71</f>
        <v>0.39</v>
      </c>
      <c r="AL25" s="174">
        <f>AL71</f>
        <v>0</v>
      </c>
      <c r="AM25" s="174">
        <f>AM71</f>
        <v>0</v>
      </c>
      <c r="AN25" s="174">
        <f>AN71</f>
        <v>0</v>
      </c>
      <c r="AO25" s="173">
        <f t="shared" si="13"/>
        <v>0</v>
      </c>
      <c r="AP25" s="174">
        <f>AP71</f>
        <v>0</v>
      </c>
      <c r="AQ25" s="174">
        <f>AQ71</f>
        <v>0</v>
      </c>
      <c r="AR25" s="174">
        <f>AR71</f>
        <v>0</v>
      </c>
      <c r="AS25" s="174">
        <f>AS71</f>
        <v>0</v>
      </c>
      <c r="AT25" s="109">
        <f t="shared" si="14"/>
        <v>0</v>
      </c>
      <c r="AU25" s="113">
        <f>AU71</f>
        <v>0</v>
      </c>
      <c r="AV25" s="113">
        <f>AV71</f>
        <v>0</v>
      </c>
      <c r="AW25" s="113">
        <f>AW71</f>
        <v>0</v>
      </c>
      <c r="AX25" s="113">
        <f>AX71</f>
        <v>0</v>
      </c>
      <c r="AY25" s="113">
        <f t="shared" si="15"/>
        <v>5.7822983057288138</v>
      </c>
      <c r="AZ25" s="113">
        <f>AZ71</f>
        <v>0.24237288200000001</v>
      </c>
      <c r="BA25" s="113">
        <f>BA71</f>
        <v>0.52140423728813556</v>
      </c>
      <c r="BB25" s="113">
        <f>BB71</f>
        <v>5.0185211864406787</v>
      </c>
      <c r="BC25" s="113">
        <f>BC71</f>
        <v>0</v>
      </c>
    </row>
    <row r="26" spans="1:55" s="105" customFormat="1" ht="110.25">
      <c r="A26" s="236" t="s">
        <v>881</v>
      </c>
      <c r="B26" s="197" t="s">
        <v>882</v>
      </c>
      <c r="C26" s="198" t="s">
        <v>876</v>
      </c>
      <c r="D26" s="172">
        <v>0</v>
      </c>
      <c r="E26" s="173">
        <f t="shared" ref="E26:E96" si="20">J26+O26+T26+Y26</f>
        <v>0</v>
      </c>
      <c r="F26" s="173">
        <f t="shared" si="4"/>
        <v>0</v>
      </c>
      <c r="G26" s="173">
        <f t="shared" si="5"/>
        <v>0</v>
      </c>
      <c r="H26" s="173">
        <f t="shared" si="6"/>
        <v>0</v>
      </c>
      <c r="I26" s="173">
        <f t="shared" si="7"/>
        <v>0</v>
      </c>
      <c r="J26" s="173">
        <f t="shared" si="16"/>
        <v>0</v>
      </c>
      <c r="K26" s="174">
        <f>K97</f>
        <v>0</v>
      </c>
      <c r="L26" s="174">
        <f>L97</f>
        <v>0</v>
      </c>
      <c r="M26" s="174">
        <f>M97</f>
        <v>0</v>
      </c>
      <c r="N26" s="174">
        <f>N97</f>
        <v>0</v>
      </c>
      <c r="O26" s="173">
        <f t="shared" si="8"/>
        <v>0</v>
      </c>
      <c r="P26" s="174">
        <f>P97</f>
        <v>0</v>
      </c>
      <c r="Q26" s="174">
        <f>Q97</f>
        <v>0</v>
      </c>
      <c r="R26" s="174">
        <f>R97</f>
        <v>0</v>
      </c>
      <c r="S26" s="174">
        <f>S97</f>
        <v>0</v>
      </c>
      <c r="T26" s="173">
        <f t="shared" si="17"/>
        <v>0</v>
      </c>
      <c r="U26" s="174">
        <f>U97</f>
        <v>0</v>
      </c>
      <c r="V26" s="174">
        <f>V97</f>
        <v>0</v>
      </c>
      <c r="W26" s="174">
        <f>W97</f>
        <v>0</v>
      </c>
      <c r="X26" s="174">
        <f>X97</f>
        <v>0</v>
      </c>
      <c r="Y26" s="173">
        <f t="shared" si="18"/>
        <v>0</v>
      </c>
      <c r="Z26" s="174">
        <f>Z97</f>
        <v>0</v>
      </c>
      <c r="AA26" s="174">
        <f>AA97</f>
        <v>0</v>
      </c>
      <c r="AB26" s="174">
        <f>AB97</f>
        <v>0</v>
      </c>
      <c r="AC26" s="174">
        <f>AC97</f>
        <v>0</v>
      </c>
      <c r="AD26" s="172" t="s">
        <v>1009</v>
      </c>
      <c r="AE26" s="173">
        <f t="shared" si="19"/>
        <v>0</v>
      </c>
      <c r="AF26" s="173">
        <f t="shared" ref="AF26:AF96" si="21">AK26+AP26+AU26+AZ26</f>
        <v>0</v>
      </c>
      <c r="AG26" s="173">
        <f t="shared" si="9"/>
        <v>0</v>
      </c>
      <c r="AH26" s="173">
        <f t="shared" si="10"/>
        <v>0</v>
      </c>
      <c r="AI26" s="173">
        <f t="shared" si="11"/>
        <v>0</v>
      </c>
      <c r="AJ26" s="173">
        <f t="shared" si="12"/>
        <v>0</v>
      </c>
      <c r="AK26" s="174">
        <f>AK97</f>
        <v>0</v>
      </c>
      <c r="AL26" s="174">
        <f>AL97</f>
        <v>0</v>
      </c>
      <c r="AM26" s="174">
        <f>AM97</f>
        <v>0</v>
      </c>
      <c r="AN26" s="174">
        <f>AN97</f>
        <v>0</v>
      </c>
      <c r="AO26" s="173">
        <f t="shared" si="13"/>
        <v>0</v>
      </c>
      <c r="AP26" s="174">
        <f>AP97</f>
        <v>0</v>
      </c>
      <c r="AQ26" s="174">
        <f>AQ97</f>
        <v>0</v>
      </c>
      <c r="AR26" s="174">
        <f>AR97</f>
        <v>0</v>
      </c>
      <c r="AS26" s="174">
        <f>AS97</f>
        <v>0</v>
      </c>
      <c r="AT26" s="109">
        <f t="shared" si="14"/>
        <v>0</v>
      </c>
      <c r="AU26" s="113">
        <f>AU97</f>
        <v>0</v>
      </c>
      <c r="AV26" s="113">
        <f>AV97</f>
        <v>0</v>
      </c>
      <c r="AW26" s="113">
        <f>AW97</f>
        <v>0</v>
      </c>
      <c r="AX26" s="113">
        <f>AX97</f>
        <v>0</v>
      </c>
      <c r="AY26" s="113">
        <f t="shared" si="15"/>
        <v>0</v>
      </c>
      <c r="AZ26" s="113">
        <f>AZ97</f>
        <v>0</v>
      </c>
      <c r="BA26" s="113">
        <f>BA97</f>
        <v>0</v>
      </c>
      <c r="BB26" s="113">
        <f>BB97</f>
        <v>0</v>
      </c>
      <c r="BC26" s="113">
        <f>BC97</f>
        <v>0</v>
      </c>
    </row>
    <row r="27" spans="1:55" s="105" customFormat="1" ht="31.5">
      <c r="A27" s="237" t="s">
        <v>883</v>
      </c>
      <c r="B27" s="200" t="s">
        <v>884</v>
      </c>
      <c r="C27" s="198" t="s">
        <v>876</v>
      </c>
      <c r="D27" s="172">
        <f>D100</f>
        <v>1.7919376000000002</v>
      </c>
      <c r="E27" s="173">
        <f t="shared" si="20"/>
        <v>1.7919376000000002</v>
      </c>
      <c r="F27" s="173">
        <f t="shared" si="4"/>
        <v>0</v>
      </c>
      <c r="G27" s="173">
        <f t="shared" si="5"/>
        <v>1.7919376000000002</v>
      </c>
      <c r="H27" s="173">
        <f t="shared" si="6"/>
        <v>0</v>
      </c>
      <c r="I27" s="173">
        <f t="shared" si="7"/>
        <v>0</v>
      </c>
      <c r="J27" s="173">
        <f t="shared" si="16"/>
        <v>1.7919376000000002</v>
      </c>
      <c r="K27" s="174">
        <f>K100</f>
        <v>0</v>
      </c>
      <c r="L27" s="174">
        <f>L100</f>
        <v>1.7919376000000002</v>
      </c>
      <c r="M27" s="174">
        <f>M100</f>
        <v>0</v>
      </c>
      <c r="N27" s="174">
        <f>N100</f>
        <v>0</v>
      </c>
      <c r="O27" s="173">
        <f t="shared" si="8"/>
        <v>0</v>
      </c>
      <c r="P27" s="174">
        <f>P100</f>
        <v>0</v>
      </c>
      <c r="Q27" s="174">
        <f>Q100</f>
        <v>0</v>
      </c>
      <c r="R27" s="174">
        <f>R100</f>
        <v>0</v>
      </c>
      <c r="S27" s="174">
        <f>S100</f>
        <v>0</v>
      </c>
      <c r="T27" s="173">
        <f t="shared" si="17"/>
        <v>0</v>
      </c>
      <c r="U27" s="174">
        <f>U100</f>
        <v>0</v>
      </c>
      <c r="V27" s="174">
        <f>V100</f>
        <v>0</v>
      </c>
      <c r="W27" s="174">
        <f>W100</f>
        <v>0</v>
      </c>
      <c r="X27" s="174">
        <f>X100</f>
        <v>0</v>
      </c>
      <c r="Y27" s="173">
        <f t="shared" si="18"/>
        <v>0</v>
      </c>
      <c r="Z27" s="174">
        <f>Z100</f>
        <v>0</v>
      </c>
      <c r="AA27" s="174">
        <f>AA100</f>
        <v>0</v>
      </c>
      <c r="AB27" s="174">
        <f>AB100</f>
        <v>0</v>
      </c>
      <c r="AC27" s="174">
        <f>AC100</f>
        <v>0</v>
      </c>
      <c r="AD27" s="172">
        <v>0</v>
      </c>
      <c r="AE27" s="173">
        <f t="shared" si="19"/>
        <v>0</v>
      </c>
      <c r="AF27" s="173">
        <f t="shared" si="21"/>
        <v>0</v>
      </c>
      <c r="AG27" s="173">
        <f t="shared" si="9"/>
        <v>0</v>
      </c>
      <c r="AH27" s="173">
        <f t="shared" si="10"/>
        <v>0</v>
      </c>
      <c r="AI27" s="173">
        <f t="shared" si="11"/>
        <v>0</v>
      </c>
      <c r="AJ27" s="173">
        <f t="shared" si="12"/>
        <v>0</v>
      </c>
      <c r="AK27" s="174">
        <f>AK100</f>
        <v>0</v>
      </c>
      <c r="AL27" s="174">
        <f>AL100</f>
        <v>0</v>
      </c>
      <c r="AM27" s="174">
        <f>AM100</f>
        <v>0</v>
      </c>
      <c r="AN27" s="174">
        <f>AN100</f>
        <v>0</v>
      </c>
      <c r="AO27" s="173">
        <f t="shared" si="13"/>
        <v>0</v>
      </c>
      <c r="AP27" s="174">
        <f>AP100</f>
        <v>0</v>
      </c>
      <c r="AQ27" s="174">
        <f>AQ100</f>
        <v>0</v>
      </c>
      <c r="AR27" s="174">
        <f>AR100</f>
        <v>0</v>
      </c>
      <c r="AS27" s="174">
        <f>AS100</f>
        <v>0</v>
      </c>
      <c r="AT27" s="109">
        <f t="shared" si="14"/>
        <v>0</v>
      </c>
      <c r="AU27" s="113">
        <f>AU100</f>
        <v>0</v>
      </c>
      <c r="AV27" s="113">
        <f>AV100</f>
        <v>0</v>
      </c>
      <c r="AW27" s="113">
        <f>AW100</f>
        <v>0</v>
      </c>
      <c r="AX27" s="113">
        <f>AX100</f>
        <v>0</v>
      </c>
      <c r="AY27" s="113">
        <f t="shared" si="15"/>
        <v>0</v>
      </c>
      <c r="AZ27" s="113">
        <f>AZ100</f>
        <v>0</v>
      </c>
      <c r="BA27" s="113">
        <f>BA100</f>
        <v>0</v>
      </c>
      <c r="BB27" s="113">
        <f>BB100</f>
        <v>0</v>
      </c>
      <c r="BC27" s="113">
        <f>BC100</f>
        <v>0</v>
      </c>
    </row>
    <row r="28" spans="1:55" s="105" customFormat="1" ht="47.25">
      <c r="A28" s="237" t="s">
        <v>885</v>
      </c>
      <c r="B28" s="200" t="s">
        <v>886</v>
      </c>
      <c r="C28" s="198" t="s">
        <v>876</v>
      </c>
      <c r="D28" s="172">
        <v>0</v>
      </c>
      <c r="E28" s="173">
        <f t="shared" si="20"/>
        <v>0</v>
      </c>
      <c r="F28" s="173">
        <f t="shared" si="4"/>
        <v>0</v>
      </c>
      <c r="G28" s="173">
        <f t="shared" si="5"/>
        <v>0</v>
      </c>
      <c r="H28" s="173">
        <f t="shared" si="6"/>
        <v>0</v>
      </c>
      <c r="I28" s="173">
        <f t="shared" si="7"/>
        <v>0</v>
      </c>
      <c r="J28" s="173">
        <f t="shared" si="16"/>
        <v>0</v>
      </c>
      <c r="K28" s="174">
        <f t="shared" ref="K28:N29" si="22">K103</f>
        <v>0</v>
      </c>
      <c r="L28" s="174">
        <f t="shared" si="22"/>
        <v>0</v>
      </c>
      <c r="M28" s="174">
        <f t="shared" si="22"/>
        <v>0</v>
      </c>
      <c r="N28" s="174">
        <f t="shared" si="22"/>
        <v>0</v>
      </c>
      <c r="O28" s="173">
        <f t="shared" si="8"/>
        <v>0</v>
      </c>
      <c r="P28" s="174">
        <f t="shared" ref="P28:S29" si="23">P103</f>
        <v>0</v>
      </c>
      <c r="Q28" s="174">
        <f t="shared" si="23"/>
        <v>0</v>
      </c>
      <c r="R28" s="174">
        <f t="shared" si="23"/>
        <v>0</v>
      </c>
      <c r="S28" s="174">
        <f t="shared" si="23"/>
        <v>0</v>
      </c>
      <c r="T28" s="173">
        <f t="shared" si="17"/>
        <v>0</v>
      </c>
      <c r="U28" s="174">
        <f t="shared" ref="U28:X29" si="24">U103</f>
        <v>0</v>
      </c>
      <c r="V28" s="174">
        <f t="shared" si="24"/>
        <v>0</v>
      </c>
      <c r="W28" s="174">
        <f t="shared" si="24"/>
        <v>0</v>
      </c>
      <c r="X28" s="174">
        <f t="shared" si="24"/>
        <v>0</v>
      </c>
      <c r="Y28" s="173">
        <f t="shared" si="18"/>
        <v>0</v>
      </c>
      <c r="Z28" s="174">
        <f t="shared" ref="Z28:AC29" si="25">Z103</f>
        <v>0</v>
      </c>
      <c r="AA28" s="174">
        <f t="shared" si="25"/>
        <v>0</v>
      </c>
      <c r="AB28" s="174">
        <f t="shared" si="25"/>
        <v>0</v>
      </c>
      <c r="AC28" s="174">
        <f t="shared" si="25"/>
        <v>0</v>
      </c>
      <c r="AD28" s="172">
        <v>0</v>
      </c>
      <c r="AE28" s="173">
        <f t="shared" si="19"/>
        <v>0</v>
      </c>
      <c r="AF28" s="173">
        <f t="shared" si="21"/>
        <v>0</v>
      </c>
      <c r="AG28" s="173">
        <f t="shared" si="9"/>
        <v>0</v>
      </c>
      <c r="AH28" s="173">
        <f t="shared" si="10"/>
        <v>0</v>
      </c>
      <c r="AI28" s="173">
        <f t="shared" si="11"/>
        <v>0</v>
      </c>
      <c r="AJ28" s="173">
        <f t="shared" si="12"/>
        <v>0</v>
      </c>
      <c r="AK28" s="174">
        <f t="shared" ref="AK28:AN29" si="26">AK103</f>
        <v>0</v>
      </c>
      <c r="AL28" s="174">
        <f t="shared" si="26"/>
        <v>0</v>
      </c>
      <c r="AM28" s="174">
        <f t="shared" si="26"/>
        <v>0</v>
      </c>
      <c r="AN28" s="174">
        <f t="shared" si="26"/>
        <v>0</v>
      </c>
      <c r="AO28" s="173">
        <f t="shared" si="13"/>
        <v>0</v>
      </c>
      <c r="AP28" s="174">
        <f t="shared" ref="AP28:AS29" si="27">AP103</f>
        <v>0</v>
      </c>
      <c r="AQ28" s="174">
        <f t="shared" si="27"/>
        <v>0</v>
      </c>
      <c r="AR28" s="174">
        <f t="shared" si="27"/>
        <v>0</v>
      </c>
      <c r="AS28" s="174">
        <f t="shared" si="27"/>
        <v>0</v>
      </c>
      <c r="AT28" s="109">
        <f t="shared" si="14"/>
        <v>0</v>
      </c>
      <c r="AU28" s="113">
        <f t="shared" ref="AU28:AX29" si="28">AU103</f>
        <v>0</v>
      </c>
      <c r="AV28" s="113">
        <f t="shared" si="28"/>
        <v>0</v>
      </c>
      <c r="AW28" s="113">
        <f t="shared" si="28"/>
        <v>0</v>
      </c>
      <c r="AX28" s="113">
        <f t="shared" si="28"/>
        <v>0</v>
      </c>
      <c r="AY28" s="113">
        <f t="shared" si="15"/>
        <v>0</v>
      </c>
      <c r="AZ28" s="113">
        <f t="shared" ref="AZ28:BC29" si="29">AZ103</f>
        <v>0</v>
      </c>
      <c r="BA28" s="113">
        <f t="shared" si="29"/>
        <v>0</v>
      </c>
      <c r="BB28" s="113">
        <f t="shared" si="29"/>
        <v>0</v>
      </c>
      <c r="BC28" s="113">
        <f t="shared" si="29"/>
        <v>0</v>
      </c>
    </row>
    <row r="29" spans="1:55" s="105" customFormat="1" ht="31.5">
      <c r="A29" s="237" t="s">
        <v>887</v>
      </c>
      <c r="B29" s="200" t="s">
        <v>888</v>
      </c>
      <c r="C29" s="198" t="s">
        <v>876</v>
      </c>
      <c r="D29" s="172">
        <f>D104</f>
        <v>8.9344798730000008</v>
      </c>
      <c r="E29" s="173">
        <f t="shared" si="20"/>
        <v>8.934479872999999</v>
      </c>
      <c r="F29" s="173">
        <f t="shared" si="4"/>
        <v>0</v>
      </c>
      <c r="G29" s="173">
        <f t="shared" si="5"/>
        <v>0</v>
      </c>
      <c r="H29" s="173">
        <f t="shared" si="6"/>
        <v>0</v>
      </c>
      <c r="I29" s="173">
        <f t="shared" si="7"/>
        <v>8.934479872999999</v>
      </c>
      <c r="J29" s="173">
        <f t="shared" si="16"/>
        <v>3.7414932930000004</v>
      </c>
      <c r="K29" s="174">
        <f t="shared" si="22"/>
        <v>0</v>
      </c>
      <c r="L29" s="174">
        <f t="shared" si="22"/>
        <v>0</v>
      </c>
      <c r="M29" s="174">
        <f t="shared" si="22"/>
        <v>0</v>
      </c>
      <c r="N29" s="174">
        <f t="shared" si="22"/>
        <v>3.7414932930000004</v>
      </c>
      <c r="O29" s="173">
        <f t="shared" si="8"/>
        <v>2.6714932899999999</v>
      </c>
      <c r="P29" s="174">
        <f t="shared" si="23"/>
        <v>0</v>
      </c>
      <c r="Q29" s="174">
        <f t="shared" si="23"/>
        <v>0</v>
      </c>
      <c r="R29" s="174">
        <f t="shared" si="23"/>
        <v>0</v>
      </c>
      <c r="S29" s="174">
        <f t="shared" si="23"/>
        <v>2.6714932899999999</v>
      </c>
      <c r="T29" s="173">
        <f t="shared" si="17"/>
        <v>1.6164932900000002</v>
      </c>
      <c r="U29" s="174">
        <f t="shared" si="24"/>
        <v>0</v>
      </c>
      <c r="V29" s="174">
        <f t="shared" si="24"/>
        <v>0</v>
      </c>
      <c r="W29" s="174">
        <f t="shared" si="24"/>
        <v>0</v>
      </c>
      <c r="X29" s="174">
        <f t="shared" si="24"/>
        <v>1.6164932900000002</v>
      </c>
      <c r="Y29" s="173">
        <f t="shared" si="18"/>
        <v>0.90500000000000003</v>
      </c>
      <c r="Z29" s="174">
        <f t="shared" si="25"/>
        <v>0</v>
      </c>
      <c r="AA29" s="174">
        <f t="shared" si="25"/>
        <v>0</v>
      </c>
      <c r="AB29" s="174">
        <f t="shared" si="25"/>
        <v>0</v>
      </c>
      <c r="AC29" s="174">
        <f t="shared" si="25"/>
        <v>0.90500000000000003</v>
      </c>
      <c r="AD29" s="172">
        <v>8.5708555211864415</v>
      </c>
      <c r="AE29" s="173">
        <f t="shared" si="19"/>
        <v>8.5708555211864415</v>
      </c>
      <c r="AF29" s="173">
        <f t="shared" si="21"/>
        <v>0</v>
      </c>
      <c r="AG29" s="173">
        <f t="shared" si="9"/>
        <v>0</v>
      </c>
      <c r="AH29" s="173">
        <f t="shared" si="10"/>
        <v>0</v>
      </c>
      <c r="AI29" s="173">
        <f t="shared" si="11"/>
        <v>8.5708555211864415</v>
      </c>
      <c r="AJ29" s="173">
        <f t="shared" si="12"/>
        <v>3.2859875272881358</v>
      </c>
      <c r="AK29" s="174">
        <f t="shared" si="26"/>
        <v>0</v>
      </c>
      <c r="AL29" s="174">
        <f t="shared" si="26"/>
        <v>0</v>
      </c>
      <c r="AM29" s="174">
        <f t="shared" si="26"/>
        <v>0</v>
      </c>
      <c r="AN29" s="174">
        <f t="shared" si="26"/>
        <v>3.2859875272881358</v>
      </c>
      <c r="AO29" s="173">
        <f t="shared" si="13"/>
        <v>2.26397736440678</v>
      </c>
      <c r="AP29" s="174">
        <f t="shared" si="27"/>
        <v>0</v>
      </c>
      <c r="AQ29" s="174">
        <f t="shared" si="27"/>
        <v>0</v>
      </c>
      <c r="AR29" s="174">
        <f t="shared" si="27"/>
        <v>0</v>
      </c>
      <c r="AS29" s="174">
        <f t="shared" si="27"/>
        <v>2.26397736440678</v>
      </c>
      <c r="AT29" s="109">
        <f t="shared" si="14"/>
        <v>1.3699095677966102</v>
      </c>
      <c r="AU29" s="113">
        <f t="shared" si="28"/>
        <v>0</v>
      </c>
      <c r="AV29" s="113">
        <f t="shared" si="28"/>
        <v>0</v>
      </c>
      <c r="AW29" s="113">
        <f t="shared" si="28"/>
        <v>0</v>
      </c>
      <c r="AX29" s="113">
        <f t="shared" si="28"/>
        <v>1.3699095677966102</v>
      </c>
      <c r="AY29" s="113">
        <f t="shared" si="15"/>
        <v>1.6509810616949148</v>
      </c>
      <c r="AZ29" s="113">
        <f t="shared" si="29"/>
        <v>0</v>
      </c>
      <c r="BA29" s="113">
        <f t="shared" si="29"/>
        <v>0</v>
      </c>
      <c r="BB29" s="113">
        <f t="shared" si="29"/>
        <v>0</v>
      </c>
      <c r="BC29" s="113">
        <f t="shared" si="29"/>
        <v>1.6509810616949148</v>
      </c>
    </row>
    <row r="30" spans="1:55" s="65" customFormat="1" ht="47.25">
      <c r="A30" s="239" t="s">
        <v>743</v>
      </c>
      <c r="B30" s="200" t="s">
        <v>889</v>
      </c>
      <c r="C30" s="198" t="s">
        <v>876</v>
      </c>
      <c r="D30" s="172">
        <f>D31</f>
        <v>4.7309032000000002</v>
      </c>
      <c r="E30" s="173">
        <f>J30+O30+T30+Y30</f>
        <v>3.3264439489999997</v>
      </c>
      <c r="F30" s="173">
        <f t="shared" si="4"/>
        <v>0.84499953380000004</v>
      </c>
      <c r="G30" s="173">
        <f t="shared" si="5"/>
        <v>0.67749001240000006</v>
      </c>
      <c r="H30" s="173">
        <f t="shared" si="6"/>
        <v>1.8039544027999999</v>
      </c>
      <c r="I30" s="173">
        <f t="shared" si="7"/>
        <v>0</v>
      </c>
      <c r="J30" s="173">
        <f>SUM(K30:N30)</f>
        <v>0.36643573239999994</v>
      </c>
      <c r="K30" s="173">
        <f>K31+K48+K55</f>
        <v>0.21499963439999997</v>
      </c>
      <c r="L30" s="173">
        <f>L31+L48+L55</f>
        <v>5.4166338000000001E-2</v>
      </c>
      <c r="M30" s="173">
        <f>M31+M48+M55</f>
        <v>9.7269759999999983E-2</v>
      </c>
      <c r="N30" s="173">
        <f t="shared" ref="N30:S30" si="30">N31+N48+N55</f>
        <v>0</v>
      </c>
      <c r="O30" s="173">
        <f t="shared" si="30"/>
        <v>1.4477108061999999</v>
      </c>
      <c r="P30" s="173">
        <f t="shared" si="30"/>
        <v>0.20699988539999997</v>
      </c>
      <c r="Q30" s="173">
        <f t="shared" si="30"/>
        <v>0.11713798080000003</v>
      </c>
      <c r="R30" s="173">
        <f t="shared" si="30"/>
        <v>1.1235729399999999</v>
      </c>
      <c r="S30" s="173">
        <f t="shared" si="30"/>
        <v>0</v>
      </c>
      <c r="T30" s="173">
        <f>SUM(U30:X30)</f>
        <v>1.1831479946000001</v>
      </c>
      <c r="U30" s="173">
        <f>U31+U48+U55</f>
        <v>0.36200001400000004</v>
      </c>
      <c r="V30" s="173">
        <f>V31+V48+V55</f>
        <v>0.36944243480000005</v>
      </c>
      <c r="W30" s="173">
        <f>W31+W48+W55</f>
        <v>0.4517055458</v>
      </c>
      <c r="X30" s="173">
        <f>X31+X48+X55</f>
        <v>0</v>
      </c>
      <c r="Y30" s="173">
        <f t="shared" si="18"/>
        <v>0.32914941580000001</v>
      </c>
      <c r="Z30" s="173">
        <f>Z31+Z48+Z55</f>
        <v>6.0999999999999999E-2</v>
      </c>
      <c r="AA30" s="173">
        <f>AA31+AA48+AA55</f>
        <v>0.13674325879999999</v>
      </c>
      <c r="AB30" s="173">
        <f>AB31+AB48+AB55</f>
        <v>0.131406157</v>
      </c>
      <c r="AC30" s="173">
        <f>AC31+AC48+AC55</f>
        <v>0</v>
      </c>
      <c r="AD30" s="530">
        <f>'12'!G29</f>
        <v>4.0092400000000001</v>
      </c>
      <c r="AE30" s="173">
        <f t="shared" ref="AE30:AE96" si="31">AJ30+AO30+AT30+AY30</f>
        <v>3.8056319986440683</v>
      </c>
      <c r="AF30" s="173">
        <f t="shared" si="21"/>
        <v>0.78789791000000009</v>
      </c>
      <c r="AG30" s="173">
        <f t="shared" si="9"/>
        <v>0.75696764559322027</v>
      </c>
      <c r="AH30" s="173">
        <f t="shared" si="10"/>
        <v>2.2607664430508478</v>
      </c>
      <c r="AI30" s="173">
        <f t="shared" si="11"/>
        <v>0</v>
      </c>
      <c r="AJ30" s="173">
        <f t="shared" ref="AJ30:AJ96" si="32">SUM(AK30:AN30)</f>
        <v>0.31774522000000005</v>
      </c>
      <c r="AK30" s="173">
        <f>AK31+AK48+AK55</f>
        <v>0.18220308000000002</v>
      </c>
      <c r="AL30" s="173">
        <f>AL31+AL48+AL55</f>
        <v>5.3110139999999993E-2</v>
      </c>
      <c r="AM30" s="173">
        <f>AM31+AM48+AM55</f>
        <v>8.2432000000000005E-2</v>
      </c>
      <c r="AN30" s="173">
        <f>AN31+AN48+AN55</f>
        <v>0</v>
      </c>
      <c r="AO30" s="173">
        <f t="shared" ref="AO30:AO96" si="33">SUM(AP30:AS30)</f>
        <v>1.1547900177966104</v>
      </c>
      <c r="AP30" s="173">
        <f>AP31+AP48+AP55</f>
        <v>9.7457530000000001E-2</v>
      </c>
      <c r="AQ30" s="173">
        <f>AQ31+AQ48+AQ55</f>
        <v>0.10515203016949154</v>
      </c>
      <c r="AR30" s="173">
        <f>AR31+AR48+AR55</f>
        <v>0.95218045762711878</v>
      </c>
      <c r="AS30" s="173">
        <f>AS31+AS48+AS55</f>
        <v>0</v>
      </c>
      <c r="AT30" s="109">
        <f t="shared" ref="AT30:AT96" si="34">SUM(AU30:AX30)</f>
        <v>1.0734440300000001</v>
      </c>
      <c r="AU30" s="114">
        <f>AU31+AU48+AU55</f>
        <v>0.3162373</v>
      </c>
      <c r="AV30" s="114">
        <f>AV31+AV48+AV55</f>
        <v>0.37440541999999999</v>
      </c>
      <c r="AW30" s="114">
        <f>AW31+AW48+AW55</f>
        <v>0.38280131000000001</v>
      </c>
      <c r="AX30" s="114">
        <f>AX31+AX48+AX55</f>
        <v>0</v>
      </c>
      <c r="AY30" s="114">
        <f>SUM(AZ30:BC30)</f>
        <v>1.2596527308474577</v>
      </c>
      <c r="AZ30" s="114">
        <f>AZ31+AZ48+AZ55</f>
        <v>0.192</v>
      </c>
      <c r="BA30" s="114">
        <f t="shared" ref="BA30:BC30" si="35">BA31+BA48+BA55</f>
        <v>0.2243000554237288</v>
      </c>
      <c r="BB30" s="114">
        <f t="shared" si="35"/>
        <v>0.84335267542372894</v>
      </c>
      <c r="BC30" s="114">
        <f t="shared" si="35"/>
        <v>0</v>
      </c>
    </row>
    <row r="31" spans="1:55" s="105" customFormat="1" ht="78.75">
      <c r="A31" s="237" t="s">
        <v>387</v>
      </c>
      <c r="B31" s="200" t="s">
        <v>890</v>
      </c>
      <c r="C31" s="202" t="s">
        <v>876</v>
      </c>
      <c r="D31" s="177">
        <f>D32</f>
        <v>4.7309032000000002</v>
      </c>
      <c r="E31" s="173">
        <f>J31+O31+T31+Y31</f>
        <v>2.2723552672</v>
      </c>
      <c r="F31" s="173">
        <f t="shared" si="4"/>
        <v>0.51299952859999998</v>
      </c>
      <c r="G31" s="173">
        <f t="shared" si="5"/>
        <v>0.40919644920000003</v>
      </c>
      <c r="H31" s="173">
        <f t="shared" si="6"/>
        <v>1.3501592893999999</v>
      </c>
      <c r="I31" s="173">
        <f t="shared" si="7"/>
        <v>0</v>
      </c>
      <c r="J31" s="173">
        <f>SUM(K31:N31)</f>
        <v>0.16249986460000002</v>
      </c>
      <c r="K31" s="174">
        <f>K32</f>
        <v>0.1349996346</v>
      </c>
      <c r="L31" s="174">
        <f>L32</f>
        <v>1.4628200000000001E-2</v>
      </c>
      <c r="M31" s="174">
        <f>M32</f>
        <v>1.287203E-2</v>
      </c>
      <c r="N31" s="174">
        <f>N32</f>
        <v>0</v>
      </c>
      <c r="O31" s="173">
        <f t="shared" si="8"/>
        <v>1.4089677307999999</v>
      </c>
      <c r="P31" s="174">
        <f>P32</f>
        <v>0.20699988539999997</v>
      </c>
      <c r="Q31" s="174">
        <f>Q32</f>
        <v>0.10274727340000003</v>
      </c>
      <c r="R31" s="174">
        <f>R32</f>
        <v>1.0992205719999999</v>
      </c>
      <c r="S31" s="174">
        <f>S32</f>
        <v>0</v>
      </c>
      <c r="T31" s="173">
        <f t="shared" si="17"/>
        <v>0.37173825599999999</v>
      </c>
      <c r="U31" s="174">
        <f>U32</f>
        <v>0.1100000086</v>
      </c>
      <c r="V31" s="174">
        <f>V32</f>
        <v>0.155077717</v>
      </c>
      <c r="W31" s="174">
        <f>W32</f>
        <v>0.10666053039999999</v>
      </c>
      <c r="X31" s="174">
        <f>X32</f>
        <v>0</v>
      </c>
      <c r="Y31" s="173">
        <f t="shared" si="18"/>
        <v>0.32914941580000001</v>
      </c>
      <c r="Z31" s="174">
        <f>Z32</f>
        <v>6.0999999999999999E-2</v>
      </c>
      <c r="AA31" s="174">
        <f>AA32</f>
        <v>0.13674325879999999</v>
      </c>
      <c r="AB31" s="174">
        <f>AB32</f>
        <v>0.131406157</v>
      </c>
      <c r="AC31" s="174">
        <f>AC32</f>
        <v>0</v>
      </c>
      <c r="AD31" s="530">
        <f>'12'!G30</f>
        <v>4.0092400000000001</v>
      </c>
      <c r="AE31" s="173">
        <f t="shared" si="31"/>
        <v>2.0473065677966105</v>
      </c>
      <c r="AF31" s="173">
        <f t="shared" si="21"/>
        <v>0.49860977000000001</v>
      </c>
      <c r="AG31" s="173">
        <f t="shared" si="9"/>
        <v>0.40449401016949149</v>
      </c>
      <c r="AH31" s="173">
        <f t="shared" si="10"/>
        <v>1.1442027876271188</v>
      </c>
      <c r="AI31" s="173">
        <f t="shared" si="11"/>
        <v>0</v>
      </c>
      <c r="AJ31" s="173">
        <f t="shared" si="32"/>
        <v>0.13978968999999999</v>
      </c>
      <c r="AK31" s="174">
        <f>AK32</f>
        <v>0.11440647</v>
      </c>
      <c r="AL31" s="174">
        <f>AL32</f>
        <v>1.4474719999999998E-2</v>
      </c>
      <c r="AM31" s="174">
        <f>AM32</f>
        <v>1.09085E-2</v>
      </c>
      <c r="AN31" s="174">
        <f>AN32</f>
        <v>0</v>
      </c>
      <c r="AO31" s="173">
        <f t="shared" si="33"/>
        <v>1.1199309877966104</v>
      </c>
      <c r="AP31" s="174">
        <f>AP32</f>
        <v>9.7457530000000001E-2</v>
      </c>
      <c r="AQ31" s="174">
        <f>AQ32</f>
        <v>9.0930600169491532E-2</v>
      </c>
      <c r="AR31" s="174">
        <f>AR32</f>
        <v>0.93154285762711875</v>
      </c>
      <c r="AS31" s="174">
        <f>AS32</f>
        <v>0</v>
      </c>
      <c r="AT31" s="109">
        <f t="shared" si="34"/>
        <v>0.35196621</v>
      </c>
      <c r="AU31" s="113">
        <f>AU32</f>
        <v>9.4745770000000007E-2</v>
      </c>
      <c r="AV31" s="113">
        <f>AV32</f>
        <v>0.16683016000000001</v>
      </c>
      <c r="AW31" s="113">
        <f>AW32</f>
        <v>9.0390280000000003E-2</v>
      </c>
      <c r="AX31" s="113">
        <f>AX32</f>
        <v>0</v>
      </c>
      <c r="AY31" s="113">
        <f>SUM(AZ31:BC31)</f>
        <v>0.43561968000000001</v>
      </c>
      <c r="AZ31" s="113">
        <f>AZ32</f>
        <v>0.192</v>
      </c>
      <c r="BA31" s="113">
        <f>BA32</f>
        <v>0.13225852999999999</v>
      </c>
      <c r="BB31" s="113">
        <f>BB32</f>
        <v>0.11136115000000001</v>
      </c>
      <c r="BC31" s="113">
        <f>BC32</f>
        <v>0</v>
      </c>
    </row>
    <row r="32" spans="1:55" s="105" customFormat="1" ht="141.75">
      <c r="A32" s="240" t="s">
        <v>389</v>
      </c>
      <c r="B32" s="525" t="s">
        <v>891</v>
      </c>
      <c r="C32" s="204" t="s">
        <v>892</v>
      </c>
      <c r="D32" s="177">
        <f>'10'!G31</f>
        <v>4.7309032000000002</v>
      </c>
      <c r="E32" s="173">
        <f>SUM(F32:I32)</f>
        <v>2.2723552672</v>
      </c>
      <c r="F32" s="173">
        <f>SUM(F33:F47)</f>
        <v>0.51299952859999998</v>
      </c>
      <c r="G32" s="173">
        <f t="shared" ref="G32:I32" si="36">SUM(G33:G47)</f>
        <v>0.40919644920000003</v>
      </c>
      <c r="H32" s="173">
        <f t="shared" si="36"/>
        <v>1.3501592894000001</v>
      </c>
      <c r="I32" s="173">
        <f t="shared" si="36"/>
        <v>0</v>
      </c>
      <c r="J32" s="173">
        <f t="shared" ref="J32" si="37">SUM(J33:J38)</f>
        <v>0.1225002246</v>
      </c>
      <c r="K32" s="173">
        <f>SUM(K33:K47)</f>
        <v>0.1349996346</v>
      </c>
      <c r="L32" s="173">
        <f t="shared" ref="L32:N32" si="38">SUM(L33:L47)</f>
        <v>1.4628200000000001E-2</v>
      </c>
      <c r="M32" s="173">
        <f t="shared" si="38"/>
        <v>1.287203E-2</v>
      </c>
      <c r="N32" s="173">
        <f t="shared" si="38"/>
        <v>0</v>
      </c>
      <c r="O32" s="173">
        <f>SUM(P32:S32)</f>
        <v>1.4089677307999999</v>
      </c>
      <c r="P32" s="173">
        <f>SUM(P33:P47)</f>
        <v>0.20699988539999997</v>
      </c>
      <c r="Q32" s="173">
        <f t="shared" ref="Q32:S32" si="39">SUM(Q33:Q47)</f>
        <v>0.10274727340000003</v>
      </c>
      <c r="R32" s="173">
        <f t="shared" si="39"/>
        <v>1.0992205719999999</v>
      </c>
      <c r="S32" s="173">
        <f t="shared" si="39"/>
        <v>0</v>
      </c>
      <c r="T32" s="173">
        <f>SUM(U32:X32)</f>
        <v>0.37173825599999999</v>
      </c>
      <c r="U32" s="173">
        <f>SUM(U33:U47)</f>
        <v>0.1100000086</v>
      </c>
      <c r="V32" s="173">
        <f t="shared" ref="V32:X32" si="40">SUM(V33:V47)</f>
        <v>0.155077717</v>
      </c>
      <c r="W32" s="173">
        <f t="shared" si="40"/>
        <v>0.10666053039999999</v>
      </c>
      <c r="X32" s="173">
        <f t="shared" si="40"/>
        <v>0</v>
      </c>
      <c r="Y32" s="173">
        <f>SUM(Z32:AC32)</f>
        <v>0.32914941580000001</v>
      </c>
      <c r="Z32" s="173">
        <f>SUM(Z33:Z47)</f>
        <v>6.0999999999999999E-2</v>
      </c>
      <c r="AA32" s="173">
        <f t="shared" ref="AA32:AC32" si="41">SUM(AA33:AA47)</f>
        <v>0.13674325879999999</v>
      </c>
      <c r="AB32" s="173">
        <f t="shared" si="41"/>
        <v>0.131406157</v>
      </c>
      <c r="AC32" s="173">
        <f t="shared" si="41"/>
        <v>0</v>
      </c>
      <c r="AD32" s="530">
        <f>'12'!G31</f>
        <v>4.0092400000000001</v>
      </c>
      <c r="AE32" s="173">
        <f>AJ32+AO32+AT32+AY32</f>
        <v>2.0473065677966105</v>
      </c>
      <c r="AF32" s="173">
        <f>AK32+AP32+AU32+AZ32</f>
        <v>0.49860977000000001</v>
      </c>
      <c r="AG32" s="173">
        <f>AL32+AQ32+AV32+BA32</f>
        <v>0.40449401016949149</v>
      </c>
      <c r="AH32" s="173">
        <f t="shared" si="10"/>
        <v>1.1442027876271188</v>
      </c>
      <c r="AI32" s="173">
        <f t="shared" si="11"/>
        <v>0</v>
      </c>
      <c r="AJ32" s="173">
        <f t="shared" si="32"/>
        <v>0.13978968999999999</v>
      </c>
      <c r="AK32" s="174">
        <f>SUM(AK33:AK47)</f>
        <v>0.11440647</v>
      </c>
      <c r="AL32" s="174">
        <f t="shared" ref="AL32:AN32" si="42">SUM(AL33:AL47)</f>
        <v>1.4474719999999998E-2</v>
      </c>
      <c r="AM32" s="174">
        <f t="shared" si="42"/>
        <v>1.09085E-2</v>
      </c>
      <c r="AN32" s="174">
        <f t="shared" si="42"/>
        <v>0</v>
      </c>
      <c r="AO32" s="173">
        <f t="shared" ref="AO32:AO54" si="43">SUM(AP32:AS32)</f>
        <v>1.1199309877966104</v>
      </c>
      <c r="AP32" s="174">
        <f>SUM(AP33:AP47)</f>
        <v>9.7457530000000001E-2</v>
      </c>
      <c r="AQ32" s="174">
        <f t="shared" ref="AQ32" si="44">SUM(AQ33:AQ47)</f>
        <v>9.0930600169491532E-2</v>
      </c>
      <c r="AR32" s="174">
        <f t="shared" ref="AR32" si="45">SUM(AR33:AR47)</f>
        <v>0.93154285762711875</v>
      </c>
      <c r="AS32" s="174">
        <f t="shared" ref="AS32" si="46">SUM(AS33:AS47)</f>
        <v>0</v>
      </c>
      <c r="AT32" s="109">
        <f>SUM(AU32:AX32)</f>
        <v>0.35196621</v>
      </c>
      <c r="AU32" s="174">
        <f>SUM(AU33:AU47)</f>
        <v>9.4745770000000007E-2</v>
      </c>
      <c r="AV32" s="174">
        <f t="shared" ref="AV32:AW32" si="47">SUM(AV33:AV47)</f>
        <v>0.16683016000000001</v>
      </c>
      <c r="AW32" s="174">
        <f t="shared" si="47"/>
        <v>9.0390280000000003E-2</v>
      </c>
      <c r="AX32" s="174">
        <f>SUM(AX33:AX47)</f>
        <v>0</v>
      </c>
      <c r="AY32" s="113">
        <f>SUM(AZ32:BC32)</f>
        <v>0.43561968000000001</v>
      </c>
      <c r="AZ32" s="113">
        <f>SUM(AZ33:AZ47)</f>
        <v>0.192</v>
      </c>
      <c r="BA32" s="113">
        <f t="shared" ref="BA32:BC32" si="48">SUM(BA33:BA47)</f>
        <v>0.13225852999999999</v>
      </c>
      <c r="BB32" s="113">
        <f t="shared" si="48"/>
        <v>0.11136115000000001</v>
      </c>
      <c r="BC32" s="113">
        <f t="shared" si="48"/>
        <v>0</v>
      </c>
    </row>
    <row r="33" spans="1:55" s="152" customFormat="1" ht="47.25">
      <c r="A33" s="203" t="s">
        <v>1074</v>
      </c>
      <c r="B33" s="514" t="s">
        <v>1080</v>
      </c>
      <c r="C33" s="204" t="s">
        <v>876</v>
      </c>
      <c r="D33" s="177">
        <v>0</v>
      </c>
      <c r="E33" s="173">
        <f t="shared" ref="E33:E38" si="49">SUM(F33:I33)</f>
        <v>6.1970852199999996E-2</v>
      </c>
      <c r="F33" s="173">
        <f>K33+P33+U33+Z33</f>
        <v>4.4999890000000001E-2</v>
      </c>
      <c r="G33" s="173">
        <f t="shared" ref="G33:I33" si="50">L33+Q33+V33+AA33</f>
        <v>9.3490708000000013E-3</v>
      </c>
      <c r="H33" s="173">
        <f t="shared" si="50"/>
        <v>7.6218913999999997E-3</v>
      </c>
      <c r="I33" s="173">
        <f t="shared" si="50"/>
        <v>0</v>
      </c>
      <c r="J33" s="173">
        <f>SUM(K33:N33)</f>
        <v>0</v>
      </c>
      <c r="K33" s="174">
        <v>0</v>
      </c>
      <c r="L33" s="174">
        <v>0</v>
      </c>
      <c r="M33" s="174">
        <v>0</v>
      </c>
      <c r="N33" s="174">
        <v>0</v>
      </c>
      <c r="O33" s="173">
        <f t="shared" ref="O33:O38" si="51">SUM(P33:S33)</f>
        <v>6.1970852199999996E-2</v>
      </c>
      <c r="P33" s="174">
        <f>38135.5/1000000*1.18</f>
        <v>4.4999890000000001E-2</v>
      </c>
      <c r="Q33" s="174">
        <f>1270.06*1.18/1000000+7850.4/1000000</f>
        <v>9.3490708000000013E-3</v>
      </c>
      <c r="R33" s="174">
        <f>6459.23/1000000*1.18</f>
        <v>7.6218913999999997E-3</v>
      </c>
      <c r="S33" s="174">
        <v>0</v>
      </c>
      <c r="T33" s="173">
        <v>0</v>
      </c>
      <c r="U33" s="174">
        <v>0</v>
      </c>
      <c r="V33" s="174">
        <v>0</v>
      </c>
      <c r="W33" s="174">
        <v>0</v>
      </c>
      <c r="X33" s="174">
        <v>0</v>
      </c>
      <c r="Y33" s="173">
        <f>SUM(Z33:AC33)</f>
        <v>0</v>
      </c>
      <c r="Z33" s="174">
        <v>0</v>
      </c>
      <c r="AA33" s="174">
        <v>0</v>
      </c>
      <c r="AB33" s="174">
        <v>0</v>
      </c>
      <c r="AC33" s="174">
        <v>0</v>
      </c>
      <c r="AD33" s="527">
        <v>0</v>
      </c>
      <c r="AE33" s="173">
        <f t="shared" ref="AE33:AI54" si="52">AJ33+AO33+AT33+AY33</f>
        <v>5.3715189999999996E-2</v>
      </c>
      <c r="AF33" s="173">
        <f t="shared" si="52"/>
        <v>3.8135500000000003E-2</v>
      </c>
      <c r="AG33" s="173">
        <f t="shared" si="52"/>
        <v>9.1204600000000004E-3</v>
      </c>
      <c r="AH33" s="173">
        <f t="shared" si="52"/>
        <v>6.4592299999999998E-3</v>
      </c>
      <c r="AI33" s="173">
        <f t="shared" si="52"/>
        <v>0</v>
      </c>
      <c r="AJ33" s="173">
        <f t="shared" si="32"/>
        <v>0</v>
      </c>
      <c r="AK33" s="174">
        <f>K33</f>
        <v>0</v>
      </c>
      <c r="AL33" s="174">
        <f t="shared" ref="AL33:AN33" si="53">L33</f>
        <v>0</v>
      </c>
      <c r="AM33" s="174">
        <f t="shared" si="53"/>
        <v>0</v>
      </c>
      <c r="AN33" s="174">
        <f t="shared" si="53"/>
        <v>0</v>
      </c>
      <c r="AO33" s="173">
        <f t="shared" si="43"/>
        <v>5.3715189999999996E-2</v>
      </c>
      <c r="AP33" s="174">
        <f>38135.5/1000000</f>
        <v>3.8135500000000003E-2</v>
      </c>
      <c r="AQ33" s="174">
        <f>1270.06/1000000+7850.4/1000000</f>
        <v>9.1204600000000004E-3</v>
      </c>
      <c r="AR33" s="174">
        <f>6459.23/1000000</f>
        <v>6.4592299999999998E-3</v>
      </c>
      <c r="AS33" s="174">
        <v>0</v>
      </c>
      <c r="AT33" s="109">
        <f>SUM(AU33:AX33)</f>
        <v>0</v>
      </c>
      <c r="AU33" s="113">
        <f>U33</f>
        <v>0</v>
      </c>
      <c r="AV33" s="113">
        <f t="shared" ref="AV33:AX33" si="54">V33</f>
        <v>0</v>
      </c>
      <c r="AW33" s="113">
        <f t="shared" si="54"/>
        <v>0</v>
      </c>
      <c r="AX33" s="113">
        <f t="shared" si="54"/>
        <v>0</v>
      </c>
      <c r="AY33" s="113">
        <f>SUM(AZ33:BC33)</f>
        <v>0</v>
      </c>
      <c r="AZ33" s="113">
        <f>Z33</f>
        <v>0</v>
      </c>
      <c r="BA33" s="113">
        <f t="shared" ref="BA33:BC33" si="55">AA33</f>
        <v>0</v>
      </c>
      <c r="BB33" s="113">
        <f t="shared" si="55"/>
        <v>0</v>
      </c>
      <c r="BC33" s="113">
        <f t="shared" si="55"/>
        <v>0</v>
      </c>
    </row>
    <row r="34" spans="1:55" s="152" customFormat="1" ht="47.25">
      <c r="A34" s="203" t="s">
        <v>1075</v>
      </c>
      <c r="B34" s="514" t="s">
        <v>1081</v>
      </c>
      <c r="C34" s="204" t="s">
        <v>876</v>
      </c>
      <c r="D34" s="177">
        <v>0</v>
      </c>
      <c r="E34" s="173">
        <f t="shared" si="49"/>
        <v>2.7500230000000001E-2</v>
      </c>
      <c r="F34" s="173">
        <f t="shared" ref="F34:F47" si="56">K34+P34+U34+Z34</f>
        <v>0</v>
      </c>
      <c r="G34" s="173">
        <f t="shared" ref="G34:G47" si="57">L34+Q34+V34+AA34</f>
        <v>1.4628200000000001E-2</v>
      </c>
      <c r="H34" s="173">
        <f t="shared" ref="H34:H47" si="58">M34+R34+W34+AB34</f>
        <v>1.287203E-2</v>
      </c>
      <c r="I34" s="173">
        <f t="shared" ref="I34:I47" si="59">N34+S34+X34+AC34</f>
        <v>0</v>
      </c>
      <c r="J34" s="173">
        <f t="shared" ref="J34:J38" si="60">SUM(K34:N34)</f>
        <v>2.7500230000000001E-2</v>
      </c>
      <c r="K34" s="174">
        <v>0</v>
      </c>
      <c r="L34" s="174">
        <f>0.02750023-M34</f>
        <v>1.4628200000000001E-2</v>
      </c>
      <c r="M34" s="174">
        <f>10908.5/1000000*1.18</f>
        <v>1.287203E-2</v>
      </c>
      <c r="N34" s="174">
        <v>0</v>
      </c>
      <c r="O34" s="173">
        <f t="shared" si="51"/>
        <v>0</v>
      </c>
      <c r="P34" s="174">
        <v>0</v>
      </c>
      <c r="Q34" s="174">
        <v>0</v>
      </c>
      <c r="R34" s="174">
        <v>0</v>
      </c>
      <c r="S34" s="174">
        <v>0</v>
      </c>
      <c r="T34" s="173">
        <v>0</v>
      </c>
      <c r="U34" s="174">
        <v>0</v>
      </c>
      <c r="V34" s="174">
        <v>0</v>
      </c>
      <c r="W34" s="174">
        <v>0</v>
      </c>
      <c r="X34" s="174">
        <v>0</v>
      </c>
      <c r="Y34" s="173">
        <f t="shared" ref="Y34:Y47" si="61">SUM(Z34:AC34)</f>
        <v>0</v>
      </c>
      <c r="Z34" s="174">
        <v>0</v>
      </c>
      <c r="AA34" s="174">
        <v>0</v>
      </c>
      <c r="AB34" s="174">
        <v>0</v>
      </c>
      <c r="AC34" s="174">
        <v>0</v>
      </c>
      <c r="AD34" s="527">
        <v>0</v>
      </c>
      <c r="AE34" s="173">
        <f t="shared" si="52"/>
        <v>2.5383219999999998E-2</v>
      </c>
      <c r="AF34" s="173">
        <f t="shared" si="52"/>
        <v>0</v>
      </c>
      <c r="AG34" s="173">
        <f t="shared" si="52"/>
        <v>1.4474719999999998E-2</v>
      </c>
      <c r="AH34" s="173">
        <f t="shared" si="52"/>
        <v>1.09085E-2</v>
      </c>
      <c r="AI34" s="173">
        <f t="shared" si="52"/>
        <v>0</v>
      </c>
      <c r="AJ34" s="173">
        <f t="shared" ref="AJ34:AJ47" si="62">SUM(AK34:AN34)</f>
        <v>2.5383219999999998E-2</v>
      </c>
      <c r="AK34" s="174">
        <v>0</v>
      </c>
      <c r="AL34" s="174">
        <f>852.48/1000000+13622.24/1000000</f>
        <v>1.4474719999999998E-2</v>
      </c>
      <c r="AM34" s="174">
        <f>10908.5/1000000</f>
        <v>1.09085E-2</v>
      </c>
      <c r="AN34" s="174">
        <v>0</v>
      </c>
      <c r="AO34" s="173">
        <f t="shared" si="43"/>
        <v>0</v>
      </c>
      <c r="AP34" s="174">
        <f t="shared" ref="AP34:AP47" si="63">P34</f>
        <v>0</v>
      </c>
      <c r="AQ34" s="174">
        <f t="shared" ref="AQ34:AQ47" si="64">Q34</f>
        <v>0</v>
      </c>
      <c r="AR34" s="174">
        <f t="shared" ref="AR34:AR47" si="65">R34</f>
        <v>0</v>
      </c>
      <c r="AS34" s="174">
        <f t="shared" ref="AS34:AS47" si="66">S34</f>
        <v>0</v>
      </c>
      <c r="AT34" s="109">
        <f t="shared" ref="AT34:AT35" si="67">SUM(AU34:AX34)</f>
        <v>0</v>
      </c>
      <c r="AU34" s="113">
        <f t="shared" ref="AU34:AU47" si="68">U34</f>
        <v>0</v>
      </c>
      <c r="AV34" s="113">
        <f t="shared" ref="AV34:AV47" si="69">V34</f>
        <v>0</v>
      </c>
      <c r="AW34" s="113">
        <f t="shared" ref="AW34:AW47" si="70">W34</f>
        <v>0</v>
      </c>
      <c r="AX34" s="113">
        <f t="shared" ref="AX34:AX47" si="71">X34</f>
        <v>0</v>
      </c>
      <c r="AY34" s="113">
        <f t="shared" ref="AY34:AY47" si="72">SUM(AZ34:BC34)</f>
        <v>0</v>
      </c>
      <c r="AZ34" s="113">
        <f t="shared" ref="AZ34:AZ42" si="73">Z34</f>
        <v>0</v>
      </c>
      <c r="BA34" s="113">
        <f t="shared" ref="BA34:BA47" si="74">AA34</f>
        <v>0</v>
      </c>
      <c r="BB34" s="113">
        <f t="shared" ref="BB34:BB47" si="75">AB34</f>
        <v>0</v>
      </c>
      <c r="BC34" s="113">
        <f t="shared" ref="BC34:BC47" si="76">AC34</f>
        <v>0</v>
      </c>
    </row>
    <row r="35" spans="1:55" s="152" customFormat="1" ht="47.25">
      <c r="A35" s="203" t="s">
        <v>1076</v>
      </c>
      <c r="B35" s="514" t="s">
        <v>1082</v>
      </c>
      <c r="C35" s="204" t="s">
        <v>876</v>
      </c>
      <c r="D35" s="177">
        <v>0</v>
      </c>
      <c r="E35" s="173">
        <f t="shared" si="49"/>
        <v>0.13751760000000002</v>
      </c>
      <c r="F35" s="173">
        <f t="shared" si="56"/>
        <v>6.9999995399999987E-2</v>
      </c>
      <c r="G35" s="173">
        <f t="shared" si="57"/>
        <v>2.0537202600000033E-2</v>
      </c>
      <c r="H35" s="173">
        <f t="shared" si="58"/>
        <v>4.6980401999999997E-2</v>
      </c>
      <c r="I35" s="173">
        <f t="shared" si="59"/>
        <v>0</v>
      </c>
      <c r="J35" s="173">
        <f t="shared" si="60"/>
        <v>0</v>
      </c>
      <c r="K35" s="174">
        <v>0</v>
      </c>
      <c r="L35" s="174">
        <v>0</v>
      </c>
      <c r="M35" s="174">
        <v>0</v>
      </c>
      <c r="N35" s="174">
        <v>0</v>
      </c>
      <c r="O35" s="173">
        <f t="shared" si="51"/>
        <v>0.13751760000000002</v>
      </c>
      <c r="P35" s="174">
        <f>59322.03/1000000*1.18</f>
        <v>6.9999995399999987E-2</v>
      </c>
      <c r="Q35" s="174">
        <v>2.0537202600000033E-2</v>
      </c>
      <c r="R35" s="174">
        <f>39813.9/1000000*1.18</f>
        <v>4.6980401999999997E-2</v>
      </c>
      <c r="S35" s="174">
        <v>0</v>
      </c>
      <c r="T35" s="173">
        <v>0</v>
      </c>
      <c r="U35" s="174">
        <v>0</v>
      </c>
      <c r="V35" s="174">
        <v>0</v>
      </c>
      <c r="W35" s="174">
        <v>0</v>
      </c>
      <c r="X35" s="174">
        <v>0</v>
      </c>
      <c r="Y35" s="173">
        <f t="shared" si="61"/>
        <v>0</v>
      </c>
      <c r="Z35" s="174">
        <v>0</v>
      </c>
      <c r="AA35" s="174">
        <v>0</v>
      </c>
      <c r="AB35" s="174">
        <v>0</v>
      </c>
      <c r="AC35" s="174">
        <v>0</v>
      </c>
      <c r="AD35" s="527">
        <v>0</v>
      </c>
      <c r="AE35" s="173">
        <f t="shared" si="52"/>
        <v>0.11919945999999999</v>
      </c>
      <c r="AF35" s="173">
        <f t="shared" si="52"/>
        <v>5.9322029999999998E-2</v>
      </c>
      <c r="AG35" s="173">
        <f t="shared" si="52"/>
        <v>2.006353E-2</v>
      </c>
      <c r="AH35" s="173">
        <f t="shared" si="52"/>
        <v>3.9813899999999999E-2</v>
      </c>
      <c r="AI35" s="173">
        <f t="shared" si="52"/>
        <v>0</v>
      </c>
      <c r="AJ35" s="173">
        <f t="shared" si="62"/>
        <v>0</v>
      </c>
      <c r="AK35" s="174">
        <f t="shared" ref="AK35:AK46" si="77">K35</f>
        <v>0</v>
      </c>
      <c r="AL35" s="174">
        <f t="shared" ref="AL35:AL46" si="78">L35</f>
        <v>0</v>
      </c>
      <c r="AM35" s="174">
        <f t="shared" ref="AM35:AM46" si="79">M35</f>
        <v>0</v>
      </c>
      <c r="AN35" s="174">
        <f t="shared" ref="AN35:AN46" si="80">N35</f>
        <v>0</v>
      </c>
      <c r="AO35" s="173">
        <f t="shared" si="43"/>
        <v>0.11919945999999999</v>
      </c>
      <c r="AP35" s="174">
        <f>59322.03/1000000</f>
        <v>5.9322029999999998E-2</v>
      </c>
      <c r="AQ35" s="174">
        <f>2628.53/1000000+17435/1000000</f>
        <v>2.006353E-2</v>
      </c>
      <c r="AR35" s="174">
        <f>39813.9/1000000</f>
        <v>3.9813899999999999E-2</v>
      </c>
      <c r="AS35" s="174">
        <v>0</v>
      </c>
      <c r="AT35" s="109">
        <f t="shared" si="67"/>
        <v>0</v>
      </c>
      <c r="AU35" s="113">
        <f t="shared" si="68"/>
        <v>0</v>
      </c>
      <c r="AV35" s="113">
        <f t="shared" si="69"/>
        <v>0</v>
      </c>
      <c r="AW35" s="113">
        <f t="shared" si="70"/>
        <v>0</v>
      </c>
      <c r="AX35" s="113">
        <f t="shared" si="71"/>
        <v>0</v>
      </c>
      <c r="AY35" s="113">
        <f t="shared" si="72"/>
        <v>0</v>
      </c>
      <c r="AZ35" s="113">
        <f t="shared" si="73"/>
        <v>0</v>
      </c>
      <c r="BA35" s="113">
        <f t="shared" si="74"/>
        <v>0</v>
      </c>
      <c r="BB35" s="113">
        <f t="shared" si="75"/>
        <v>0</v>
      </c>
      <c r="BC35" s="113">
        <f t="shared" si="76"/>
        <v>0</v>
      </c>
    </row>
    <row r="36" spans="1:55" s="152" customFormat="1" ht="63">
      <c r="A36" s="203" t="s">
        <v>1077</v>
      </c>
      <c r="B36" s="514" t="s">
        <v>1157</v>
      </c>
      <c r="C36" s="204" t="s">
        <v>876</v>
      </c>
      <c r="D36" s="177">
        <v>0</v>
      </c>
      <c r="E36" s="173">
        <f>SUM(F36:I36)</f>
        <v>8.653359179999999E-2</v>
      </c>
      <c r="F36" s="173">
        <f t="shared" si="56"/>
        <v>6.0000002799999994E-2</v>
      </c>
      <c r="G36" s="173">
        <f t="shared" si="57"/>
        <v>1.9853290400000001E-2</v>
      </c>
      <c r="H36" s="173">
        <f t="shared" si="58"/>
        <v>6.6802985999999996E-3</v>
      </c>
      <c r="I36" s="173">
        <f t="shared" si="59"/>
        <v>0</v>
      </c>
      <c r="J36" s="173">
        <f t="shared" si="60"/>
        <v>0</v>
      </c>
      <c r="K36" s="174">
        <v>0</v>
      </c>
      <c r="L36" s="174">
        <v>0</v>
      </c>
      <c r="M36" s="174">
        <v>0</v>
      </c>
      <c r="N36" s="174">
        <v>0</v>
      </c>
      <c r="O36" s="173">
        <f>SUM(P36:S36)</f>
        <v>0</v>
      </c>
      <c r="P36" s="174">
        <v>0</v>
      </c>
      <c r="Q36" s="174">
        <v>0</v>
      </c>
      <c r="R36" s="174">
        <v>0</v>
      </c>
      <c r="S36" s="174">
        <v>0</v>
      </c>
      <c r="T36" s="173">
        <f>SUM(U36:X36)</f>
        <v>8.653359179999999E-2</v>
      </c>
      <c r="U36" s="174">
        <f>0.05084746*1.18</f>
        <v>6.0000002799999994E-2</v>
      </c>
      <c r="V36" s="174">
        <f>((2770.28)*1.18+16584.36)/1000000</f>
        <v>1.9853290400000001E-2</v>
      </c>
      <c r="W36" s="174">
        <f>5661.27*1.18/1000000</f>
        <v>6.6802985999999996E-3</v>
      </c>
      <c r="X36" s="174">
        <v>0</v>
      </c>
      <c r="Y36" s="173">
        <f t="shared" si="61"/>
        <v>0</v>
      </c>
      <c r="Z36" s="174">
        <v>0</v>
      </c>
      <c r="AA36" s="174">
        <v>0</v>
      </c>
      <c r="AB36" s="174">
        <v>0</v>
      </c>
      <c r="AC36" s="174">
        <v>0</v>
      </c>
      <c r="AD36" s="527">
        <v>0</v>
      </c>
      <c r="AE36" s="173">
        <f t="shared" si="52"/>
        <v>7.5863369999999986E-2</v>
      </c>
      <c r="AF36" s="173">
        <f t="shared" si="52"/>
        <v>5.0847459999999997E-2</v>
      </c>
      <c r="AG36" s="173">
        <f t="shared" si="52"/>
        <v>1.9354639999999999E-2</v>
      </c>
      <c r="AH36" s="173">
        <f t="shared" si="52"/>
        <v>5.6612700000000004E-3</v>
      </c>
      <c r="AI36" s="173">
        <f t="shared" si="52"/>
        <v>0</v>
      </c>
      <c r="AJ36" s="173">
        <f t="shared" si="62"/>
        <v>0</v>
      </c>
      <c r="AK36" s="174">
        <f t="shared" si="77"/>
        <v>0</v>
      </c>
      <c r="AL36" s="174">
        <f t="shared" si="78"/>
        <v>0</v>
      </c>
      <c r="AM36" s="174">
        <f t="shared" si="79"/>
        <v>0</v>
      </c>
      <c r="AN36" s="174">
        <f t="shared" si="80"/>
        <v>0</v>
      </c>
      <c r="AO36" s="173">
        <f t="shared" si="43"/>
        <v>0</v>
      </c>
      <c r="AP36" s="174">
        <f t="shared" si="63"/>
        <v>0</v>
      </c>
      <c r="AQ36" s="174">
        <f t="shared" si="64"/>
        <v>0</v>
      </c>
      <c r="AR36" s="174">
        <f t="shared" si="65"/>
        <v>0</v>
      </c>
      <c r="AS36" s="174">
        <f t="shared" si="66"/>
        <v>0</v>
      </c>
      <c r="AT36" s="109">
        <f>SUM(AU36:AX36)</f>
        <v>7.5863369999999986E-2</v>
      </c>
      <c r="AU36" s="174">
        <f>0.05084746</f>
        <v>5.0847459999999997E-2</v>
      </c>
      <c r="AV36" s="174">
        <f>((2770.28)+16584.36)/1000000</f>
        <v>1.9354639999999999E-2</v>
      </c>
      <c r="AW36" s="174">
        <f>5661.27/1000000</f>
        <v>5.6612700000000004E-3</v>
      </c>
      <c r="AX36" s="174">
        <v>0</v>
      </c>
      <c r="AY36" s="113">
        <f t="shared" si="72"/>
        <v>0</v>
      </c>
      <c r="AZ36" s="113">
        <f t="shared" si="73"/>
        <v>0</v>
      </c>
      <c r="BA36" s="113">
        <f t="shared" si="74"/>
        <v>0</v>
      </c>
      <c r="BB36" s="113">
        <f t="shared" si="75"/>
        <v>0</v>
      </c>
      <c r="BC36" s="113">
        <f t="shared" si="76"/>
        <v>0</v>
      </c>
    </row>
    <row r="37" spans="1:55" s="152" customFormat="1" ht="31.5">
      <c r="A37" s="203" t="s">
        <v>1078</v>
      </c>
      <c r="B37" s="514" t="s">
        <v>1084</v>
      </c>
      <c r="C37" s="204" t="s">
        <v>876</v>
      </c>
      <c r="D37" s="177">
        <v>0</v>
      </c>
      <c r="E37" s="173">
        <f t="shared" si="49"/>
        <v>1.1186429946000001</v>
      </c>
      <c r="F37" s="173">
        <f t="shared" si="56"/>
        <v>9.4999994599999998E-2</v>
      </c>
      <c r="G37" s="173">
        <f t="shared" si="57"/>
        <v>7.2860999999999995E-2</v>
      </c>
      <c r="H37" s="173">
        <f t="shared" si="58"/>
        <v>0.95078200000000002</v>
      </c>
      <c r="I37" s="173">
        <f t="shared" si="59"/>
        <v>0</v>
      </c>
      <c r="J37" s="173">
        <f t="shared" si="60"/>
        <v>9.4999994599999998E-2</v>
      </c>
      <c r="K37" s="522">
        <f>0.08050847*1.18</f>
        <v>9.4999994599999998E-2</v>
      </c>
      <c r="L37" s="174">
        <v>0</v>
      </c>
      <c r="M37" s="174">
        <v>0</v>
      </c>
      <c r="N37" s="174">
        <v>0</v>
      </c>
      <c r="O37" s="173">
        <f t="shared" si="51"/>
        <v>1.0236430000000001</v>
      </c>
      <c r="P37" s="174">
        <v>0</v>
      </c>
      <c r="Q37" s="174">
        <f>72861/1000000</f>
        <v>7.2860999999999995E-2</v>
      </c>
      <c r="R37" s="174">
        <f>950782/1000000</f>
        <v>0.95078200000000002</v>
      </c>
      <c r="S37" s="174">
        <v>0</v>
      </c>
      <c r="T37" s="173">
        <f t="shared" ref="T37:T54" si="81">SUM(U37:X37)</f>
        <v>0</v>
      </c>
      <c r="U37" s="174">
        <v>0</v>
      </c>
      <c r="V37" s="174">
        <v>0</v>
      </c>
      <c r="W37" s="174">
        <v>0</v>
      </c>
      <c r="X37" s="174">
        <v>0</v>
      </c>
      <c r="Y37" s="173">
        <f t="shared" si="61"/>
        <v>0</v>
      </c>
      <c r="Z37" s="174">
        <v>0</v>
      </c>
      <c r="AA37" s="174">
        <v>0</v>
      </c>
      <c r="AB37" s="174">
        <v>0</v>
      </c>
      <c r="AC37" s="174">
        <v>0</v>
      </c>
      <c r="AD37" s="527">
        <v>0</v>
      </c>
      <c r="AE37" s="173">
        <f t="shared" si="52"/>
        <v>0.94800253779661037</v>
      </c>
      <c r="AF37" s="173">
        <f t="shared" si="52"/>
        <v>8.0508469999999999E-2</v>
      </c>
      <c r="AG37" s="173">
        <f t="shared" si="52"/>
        <v>6.1746610169491525E-2</v>
      </c>
      <c r="AH37" s="173">
        <f t="shared" si="52"/>
        <v>0.80574745762711875</v>
      </c>
      <c r="AI37" s="173">
        <f t="shared" si="52"/>
        <v>0</v>
      </c>
      <c r="AJ37" s="173">
        <f t="shared" si="62"/>
        <v>8.0508469999999999E-2</v>
      </c>
      <c r="AK37" s="174">
        <f>0.08050847</f>
        <v>8.0508469999999999E-2</v>
      </c>
      <c r="AL37" s="174">
        <f t="shared" si="78"/>
        <v>0</v>
      </c>
      <c r="AM37" s="174">
        <f t="shared" si="79"/>
        <v>0</v>
      </c>
      <c r="AN37" s="174">
        <f t="shared" si="80"/>
        <v>0</v>
      </c>
      <c r="AO37" s="173">
        <f t="shared" si="43"/>
        <v>0.86749406779661031</v>
      </c>
      <c r="AP37" s="174">
        <v>0</v>
      </c>
      <c r="AQ37" s="174">
        <f>72861/1000000/1.18</f>
        <v>6.1746610169491525E-2</v>
      </c>
      <c r="AR37" s="174">
        <f>950782/1000000/1.18</f>
        <v>0.80574745762711875</v>
      </c>
      <c r="AS37" s="174">
        <v>0</v>
      </c>
      <c r="AT37" s="109">
        <f t="shared" ref="AT37:AT38" si="82">SUM(AU37:AX37)</f>
        <v>0</v>
      </c>
      <c r="AU37" s="113">
        <f t="shared" si="68"/>
        <v>0</v>
      </c>
      <c r="AV37" s="113">
        <f t="shared" si="69"/>
        <v>0</v>
      </c>
      <c r="AW37" s="113">
        <f t="shared" si="70"/>
        <v>0</v>
      </c>
      <c r="AX37" s="113">
        <f t="shared" si="71"/>
        <v>0</v>
      </c>
      <c r="AY37" s="113">
        <f t="shared" si="72"/>
        <v>0</v>
      </c>
      <c r="AZ37" s="113">
        <f t="shared" si="73"/>
        <v>0</v>
      </c>
      <c r="BA37" s="113">
        <f t="shared" si="74"/>
        <v>0</v>
      </c>
      <c r="BB37" s="113">
        <f t="shared" si="75"/>
        <v>0</v>
      </c>
      <c r="BC37" s="113">
        <f t="shared" si="76"/>
        <v>0</v>
      </c>
    </row>
    <row r="38" spans="1:55" s="152" customFormat="1" ht="47.25">
      <c r="A38" s="203" t="s">
        <v>1079</v>
      </c>
      <c r="B38" s="514" t="s">
        <v>1085</v>
      </c>
      <c r="C38" s="204" t="s">
        <v>876</v>
      </c>
      <c r="D38" s="177">
        <v>0</v>
      </c>
      <c r="E38" s="173">
        <f t="shared" si="49"/>
        <v>9.1999999999999998E-2</v>
      </c>
      <c r="F38" s="173">
        <f t="shared" si="56"/>
        <v>9.1999999999999998E-2</v>
      </c>
      <c r="G38" s="173">
        <f t="shared" si="57"/>
        <v>0</v>
      </c>
      <c r="H38" s="173">
        <f t="shared" si="58"/>
        <v>0</v>
      </c>
      <c r="I38" s="173">
        <f t="shared" si="59"/>
        <v>0</v>
      </c>
      <c r="J38" s="173">
        <f t="shared" si="60"/>
        <v>0</v>
      </c>
      <c r="K38" s="522">
        <f>'10'!J46</f>
        <v>0</v>
      </c>
      <c r="L38" s="174">
        <v>0</v>
      </c>
      <c r="M38" s="174">
        <v>0</v>
      </c>
      <c r="N38" s="174">
        <v>0</v>
      </c>
      <c r="O38" s="173">
        <f t="shared" si="51"/>
        <v>9.1999999999999998E-2</v>
      </c>
      <c r="P38" s="174">
        <f>92000/1000000</f>
        <v>9.1999999999999998E-2</v>
      </c>
      <c r="Q38" s="174">
        <v>0</v>
      </c>
      <c r="R38" s="174">
        <v>0</v>
      </c>
      <c r="S38" s="174">
        <v>0</v>
      </c>
      <c r="T38" s="173">
        <f t="shared" si="81"/>
        <v>0</v>
      </c>
      <c r="U38" s="174">
        <v>0</v>
      </c>
      <c r="V38" s="174">
        <v>0</v>
      </c>
      <c r="W38" s="174">
        <v>0</v>
      </c>
      <c r="X38" s="174">
        <v>0</v>
      </c>
      <c r="Y38" s="173">
        <f t="shared" si="61"/>
        <v>0</v>
      </c>
      <c r="Z38" s="174">
        <v>0</v>
      </c>
      <c r="AA38" s="174">
        <v>0</v>
      </c>
      <c r="AB38" s="174">
        <v>0</v>
      </c>
      <c r="AC38" s="174">
        <v>0</v>
      </c>
      <c r="AD38" s="527">
        <v>0</v>
      </c>
      <c r="AE38" s="173">
        <f t="shared" si="52"/>
        <v>0</v>
      </c>
      <c r="AF38" s="173">
        <f t="shared" si="52"/>
        <v>0</v>
      </c>
      <c r="AG38" s="173">
        <f t="shared" si="52"/>
        <v>0</v>
      </c>
      <c r="AH38" s="173">
        <f t="shared" si="52"/>
        <v>0</v>
      </c>
      <c r="AI38" s="173">
        <f t="shared" si="52"/>
        <v>0</v>
      </c>
      <c r="AJ38" s="173">
        <f t="shared" si="62"/>
        <v>0</v>
      </c>
      <c r="AK38" s="174">
        <f t="shared" si="77"/>
        <v>0</v>
      </c>
      <c r="AL38" s="174">
        <f t="shared" si="78"/>
        <v>0</v>
      </c>
      <c r="AM38" s="174">
        <f t="shared" si="79"/>
        <v>0</v>
      </c>
      <c r="AN38" s="174">
        <f t="shared" si="80"/>
        <v>0</v>
      </c>
      <c r="AO38" s="173">
        <f t="shared" si="43"/>
        <v>0</v>
      </c>
      <c r="AP38" s="174">
        <v>0</v>
      </c>
      <c r="AQ38" s="174">
        <f t="shared" si="64"/>
        <v>0</v>
      </c>
      <c r="AR38" s="174">
        <f t="shared" si="65"/>
        <v>0</v>
      </c>
      <c r="AS38" s="174">
        <f t="shared" si="66"/>
        <v>0</v>
      </c>
      <c r="AT38" s="109">
        <f t="shared" si="82"/>
        <v>0</v>
      </c>
      <c r="AU38" s="113">
        <f t="shared" si="68"/>
        <v>0</v>
      </c>
      <c r="AV38" s="113">
        <f t="shared" si="69"/>
        <v>0</v>
      </c>
      <c r="AW38" s="113">
        <f t="shared" si="70"/>
        <v>0</v>
      </c>
      <c r="AX38" s="113">
        <f t="shared" si="71"/>
        <v>0</v>
      </c>
      <c r="AY38" s="113">
        <f t="shared" si="72"/>
        <v>0</v>
      </c>
      <c r="AZ38" s="114">
        <f t="shared" si="73"/>
        <v>0</v>
      </c>
      <c r="BA38" s="114">
        <f t="shared" si="74"/>
        <v>0</v>
      </c>
      <c r="BB38" s="114">
        <f t="shared" si="75"/>
        <v>0</v>
      </c>
      <c r="BC38" s="114">
        <f t="shared" si="76"/>
        <v>0</v>
      </c>
    </row>
    <row r="39" spans="1:55" s="152" customFormat="1" ht="47.25">
      <c r="A39" s="203" t="s">
        <v>1145</v>
      </c>
      <c r="B39" s="514" t="s">
        <v>1156</v>
      </c>
      <c r="C39" s="204" t="s">
        <v>876</v>
      </c>
      <c r="D39" s="177">
        <v>0</v>
      </c>
      <c r="E39" s="173">
        <f t="shared" ref="E39:E47" si="83">SUM(F39:I39)</f>
        <v>3.9901382999999999E-2</v>
      </c>
      <c r="F39" s="173">
        <f t="shared" si="56"/>
        <v>5.0000000000000001E-3</v>
      </c>
      <c r="G39" s="173">
        <f t="shared" si="57"/>
        <v>2.6827150399999999E-2</v>
      </c>
      <c r="H39" s="173">
        <f t="shared" si="58"/>
        <v>8.0742326E-3</v>
      </c>
      <c r="I39" s="173">
        <f t="shared" si="59"/>
        <v>0</v>
      </c>
      <c r="J39" s="173">
        <f t="shared" ref="J39:J47" si="84">SUM(K39:N39)</f>
        <v>0</v>
      </c>
      <c r="K39" s="174">
        <v>0</v>
      </c>
      <c r="L39" s="174">
        <v>0</v>
      </c>
      <c r="M39" s="174">
        <v>0</v>
      </c>
      <c r="N39" s="174">
        <v>0</v>
      </c>
      <c r="O39" s="173">
        <f t="shared" ref="O39:O47" si="85">SUM(P39:S39)</f>
        <v>0</v>
      </c>
      <c r="P39" s="174">
        <v>0</v>
      </c>
      <c r="Q39" s="174">
        <v>0</v>
      </c>
      <c r="R39" s="174">
        <v>0</v>
      </c>
      <c r="S39" s="174">
        <v>0</v>
      </c>
      <c r="T39" s="173">
        <f t="shared" si="81"/>
        <v>3.9901382999999999E-2</v>
      </c>
      <c r="U39" s="174">
        <v>5.0000000000000001E-3</v>
      </c>
      <c r="V39" s="174">
        <f>(3997.28*1.18+22110.36)/1000000</f>
        <v>2.6827150399999999E-2</v>
      </c>
      <c r="W39" s="174">
        <f>6842.57*1.18/1000000</f>
        <v>8.0742326E-3</v>
      </c>
      <c r="X39" s="174">
        <v>0</v>
      </c>
      <c r="Y39" s="173">
        <f t="shared" si="61"/>
        <v>0</v>
      </c>
      <c r="Z39" s="174">
        <v>0</v>
      </c>
      <c r="AA39" s="174">
        <v>0</v>
      </c>
      <c r="AB39" s="174">
        <v>0</v>
      </c>
      <c r="AC39" s="174">
        <v>0</v>
      </c>
      <c r="AD39" s="527">
        <v>0</v>
      </c>
      <c r="AE39" s="173">
        <f t="shared" ref="AE39:AE47" si="86">AJ39+AO39+AT39+AY39</f>
        <v>3.7950209999999998E-2</v>
      </c>
      <c r="AF39" s="173">
        <f t="shared" ref="AF39:AF47" si="87">AK39+AP39+AU39+AZ39</f>
        <v>5.0000000000000001E-3</v>
      </c>
      <c r="AG39" s="173">
        <f t="shared" ref="AG39:AG47" si="88">AL39+AQ39+AV39+BA39</f>
        <v>2.6107639999999998E-2</v>
      </c>
      <c r="AH39" s="173">
        <f t="shared" ref="AH39:AH47" si="89">AM39+AR39+AW39+BB39</f>
        <v>6.8425700000000001E-3</v>
      </c>
      <c r="AI39" s="173">
        <f t="shared" ref="AI39:AI47" si="90">AN39+AS39+AX39+BC39</f>
        <v>0</v>
      </c>
      <c r="AJ39" s="173">
        <f t="shared" si="62"/>
        <v>0</v>
      </c>
      <c r="AK39" s="174">
        <f t="shared" si="77"/>
        <v>0</v>
      </c>
      <c r="AL39" s="174">
        <f t="shared" si="78"/>
        <v>0</v>
      </c>
      <c r="AM39" s="174">
        <f t="shared" si="79"/>
        <v>0</v>
      </c>
      <c r="AN39" s="174">
        <f t="shared" si="80"/>
        <v>0</v>
      </c>
      <c r="AO39" s="173">
        <f t="shared" ref="AO39:AO47" si="91">SUM(AP39:AS39)</f>
        <v>0</v>
      </c>
      <c r="AP39" s="174">
        <f t="shared" si="63"/>
        <v>0</v>
      </c>
      <c r="AQ39" s="174">
        <f t="shared" si="64"/>
        <v>0</v>
      </c>
      <c r="AR39" s="174">
        <f t="shared" si="65"/>
        <v>0</v>
      </c>
      <c r="AS39" s="174">
        <f t="shared" si="66"/>
        <v>0</v>
      </c>
      <c r="AT39" s="109">
        <f t="shared" ref="AT39:AT47" si="92">SUM(AU39:AX39)</f>
        <v>3.7950209999999998E-2</v>
      </c>
      <c r="AU39" s="174">
        <v>5.0000000000000001E-3</v>
      </c>
      <c r="AV39" s="174">
        <f>(3997.28+22110.36)/1000000</f>
        <v>2.6107639999999998E-2</v>
      </c>
      <c r="AW39" s="174">
        <f>6842.57/1000000</f>
        <v>6.8425700000000001E-3</v>
      </c>
      <c r="AX39" s="174">
        <v>0</v>
      </c>
      <c r="AY39" s="113">
        <f t="shared" si="72"/>
        <v>0</v>
      </c>
      <c r="AZ39" s="113">
        <f t="shared" si="73"/>
        <v>0</v>
      </c>
      <c r="BA39" s="113">
        <f t="shared" si="74"/>
        <v>0</v>
      </c>
      <c r="BB39" s="113">
        <f t="shared" si="75"/>
        <v>0</v>
      </c>
      <c r="BC39" s="113">
        <f t="shared" si="76"/>
        <v>0</v>
      </c>
    </row>
    <row r="40" spans="1:55" s="152" customFormat="1" ht="47.25">
      <c r="A40" s="203" t="s">
        <v>1146</v>
      </c>
      <c r="B40" s="514" t="s">
        <v>1155</v>
      </c>
      <c r="C40" s="204" t="s">
        <v>876</v>
      </c>
      <c r="D40" s="177">
        <v>0</v>
      </c>
      <c r="E40" s="173">
        <f t="shared" si="83"/>
        <v>0.16484496900000001</v>
      </c>
      <c r="F40" s="173">
        <f t="shared" si="56"/>
        <v>4.0000005800000002E-2</v>
      </c>
      <c r="G40" s="173">
        <f t="shared" si="57"/>
        <v>3.9694688200000001E-2</v>
      </c>
      <c r="H40" s="173">
        <f t="shared" si="58"/>
        <v>8.5150274999999997E-2</v>
      </c>
      <c r="I40" s="173">
        <f t="shared" si="59"/>
        <v>0</v>
      </c>
      <c r="J40" s="173">
        <f t="shared" si="84"/>
        <v>0</v>
      </c>
      <c r="K40" s="174">
        <v>0</v>
      </c>
      <c r="L40" s="174">
        <v>0</v>
      </c>
      <c r="M40" s="174">
        <v>0</v>
      </c>
      <c r="N40" s="174">
        <v>0</v>
      </c>
      <c r="O40" s="173">
        <f t="shared" si="85"/>
        <v>0</v>
      </c>
      <c r="P40" s="174">
        <v>0</v>
      </c>
      <c r="Q40" s="174">
        <v>0</v>
      </c>
      <c r="R40" s="174">
        <v>0</v>
      </c>
      <c r="S40" s="174">
        <v>0</v>
      </c>
      <c r="T40" s="173">
        <f t="shared" si="81"/>
        <v>0.16484496900000001</v>
      </c>
      <c r="U40" s="174">
        <f>0.03389831*1.18</f>
        <v>4.0000005800000002E-2</v>
      </c>
      <c r="V40" s="174">
        <f>3733.49*1.18/1000000+35289.17/1000000</f>
        <v>3.9694688200000001E-2</v>
      </c>
      <c r="W40" s="174">
        <f>0.07216125*1.18</f>
        <v>8.5150274999999997E-2</v>
      </c>
      <c r="X40" s="174">
        <v>0</v>
      </c>
      <c r="Y40" s="173">
        <f t="shared" si="61"/>
        <v>0</v>
      </c>
      <c r="Z40" s="174">
        <v>0</v>
      </c>
      <c r="AA40" s="174">
        <v>0</v>
      </c>
      <c r="AB40" s="174">
        <v>0</v>
      </c>
      <c r="AC40" s="174">
        <v>0</v>
      </c>
      <c r="AD40" s="527">
        <v>0</v>
      </c>
      <c r="AE40" s="173">
        <f t="shared" si="86"/>
        <v>0.14508221999999998</v>
      </c>
      <c r="AF40" s="173">
        <f t="shared" si="87"/>
        <v>3.3898310000000001E-2</v>
      </c>
      <c r="AG40" s="173">
        <f t="shared" si="88"/>
        <v>3.9022660000000001E-2</v>
      </c>
      <c r="AH40" s="173">
        <f t="shared" si="89"/>
        <v>7.2161249999999996E-2</v>
      </c>
      <c r="AI40" s="173">
        <f t="shared" si="90"/>
        <v>0</v>
      </c>
      <c r="AJ40" s="173">
        <f t="shared" si="62"/>
        <v>0</v>
      </c>
      <c r="AK40" s="174">
        <f t="shared" si="77"/>
        <v>0</v>
      </c>
      <c r="AL40" s="174">
        <f t="shared" si="78"/>
        <v>0</v>
      </c>
      <c r="AM40" s="174">
        <f t="shared" si="79"/>
        <v>0</v>
      </c>
      <c r="AN40" s="174">
        <f t="shared" si="80"/>
        <v>0</v>
      </c>
      <c r="AO40" s="173">
        <f t="shared" si="91"/>
        <v>0</v>
      </c>
      <c r="AP40" s="174">
        <f t="shared" si="63"/>
        <v>0</v>
      </c>
      <c r="AQ40" s="174">
        <f t="shared" si="64"/>
        <v>0</v>
      </c>
      <c r="AR40" s="174">
        <f t="shared" si="65"/>
        <v>0</v>
      </c>
      <c r="AS40" s="174">
        <f t="shared" si="66"/>
        <v>0</v>
      </c>
      <c r="AT40" s="109">
        <f t="shared" si="92"/>
        <v>0.14508221999999998</v>
      </c>
      <c r="AU40" s="174">
        <f>0.03389831</f>
        <v>3.3898310000000001E-2</v>
      </c>
      <c r="AV40" s="174">
        <f>3733.49/1000000+35289.17/1000000</f>
        <v>3.9022660000000001E-2</v>
      </c>
      <c r="AW40" s="174">
        <f>0.07216125</f>
        <v>7.2161249999999996E-2</v>
      </c>
      <c r="AX40" s="174">
        <v>0</v>
      </c>
      <c r="AY40" s="113">
        <f t="shared" si="72"/>
        <v>0</v>
      </c>
      <c r="AZ40" s="113">
        <f t="shared" si="73"/>
        <v>0</v>
      </c>
      <c r="BA40" s="113">
        <f t="shared" si="74"/>
        <v>0</v>
      </c>
      <c r="BB40" s="113">
        <f t="shared" si="75"/>
        <v>0</v>
      </c>
      <c r="BC40" s="113">
        <f t="shared" si="76"/>
        <v>0</v>
      </c>
    </row>
    <row r="41" spans="1:55" s="152" customFormat="1" ht="63">
      <c r="A41" s="203" t="s">
        <v>1147</v>
      </c>
      <c r="B41" s="514" t="s">
        <v>1154</v>
      </c>
      <c r="C41" s="204" t="s">
        <v>876</v>
      </c>
      <c r="D41" s="177">
        <v>0</v>
      </c>
      <c r="E41" s="173">
        <f t="shared" si="83"/>
        <v>0.1805854566</v>
      </c>
      <c r="F41" s="173">
        <f t="shared" si="56"/>
        <v>3.9999639999999996E-2</v>
      </c>
      <c r="G41" s="173">
        <f t="shared" si="57"/>
        <v>4.6749538E-2</v>
      </c>
      <c r="H41" s="173">
        <f t="shared" si="58"/>
        <v>9.3836278600000003E-2</v>
      </c>
      <c r="I41" s="173">
        <f t="shared" si="59"/>
        <v>0</v>
      </c>
      <c r="J41" s="173">
        <f t="shared" si="84"/>
        <v>3.9999639999999996E-2</v>
      </c>
      <c r="K41" s="522">
        <f>33898*1.18/1000000</f>
        <v>3.9999639999999996E-2</v>
      </c>
      <c r="L41" s="174">
        <v>0</v>
      </c>
      <c r="M41" s="174">
        <v>0</v>
      </c>
      <c r="N41" s="174">
        <v>0</v>
      </c>
      <c r="O41" s="173">
        <f t="shared" si="85"/>
        <v>9.3836278600000003E-2</v>
      </c>
      <c r="P41" s="174">
        <v>0</v>
      </c>
      <c r="Q41" s="174">
        <v>0</v>
      </c>
      <c r="R41" s="174">
        <f>79522.27/1000000*1.18</f>
        <v>9.3836278600000003E-2</v>
      </c>
      <c r="S41" s="174">
        <v>0</v>
      </c>
      <c r="T41" s="173">
        <f t="shared" si="81"/>
        <v>4.6749538E-2</v>
      </c>
      <c r="U41" s="174">
        <v>0</v>
      </c>
      <c r="V41" s="174">
        <f>5813.6*1.18/1000000+39889.49/1000000</f>
        <v>4.6749538E-2</v>
      </c>
      <c r="W41" s="174">
        <v>0</v>
      </c>
      <c r="X41" s="174">
        <v>0</v>
      </c>
      <c r="Y41" s="173">
        <f t="shared" si="61"/>
        <v>0</v>
      </c>
      <c r="Z41" s="174">
        <v>0</v>
      </c>
      <c r="AA41" s="174">
        <v>0</v>
      </c>
      <c r="AB41" s="174">
        <v>0</v>
      </c>
      <c r="AC41" s="174">
        <v>0</v>
      </c>
      <c r="AD41" s="527">
        <v>0</v>
      </c>
      <c r="AE41" s="173">
        <f t="shared" si="86"/>
        <v>0.17442336</v>
      </c>
      <c r="AF41" s="173">
        <f t="shared" si="87"/>
        <v>3.3897999999999998E-2</v>
      </c>
      <c r="AG41" s="173">
        <f t="shared" si="88"/>
        <v>6.1003090000000003E-2</v>
      </c>
      <c r="AH41" s="173">
        <f t="shared" si="89"/>
        <v>7.9522270000000006E-2</v>
      </c>
      <c r="AI41" s="173">
        <f t="shared" si="90"/>
        <v>0</v>
      </c>
      <c r="AJ41" s="173">
        <f t="shared" si="62"/>
        <v>3.3897999999999998E-2</v>
      </c>
      <c r="AK41" s="174">
        <f>33898/1000000</f>
        <v>3.3897999999999998E-2</v>
      </c>
      <c r="AL41" s="174">
        <f t="shared" si="78"/>
        <v>0</v>
      </c>
      <c r="AM41" s="174">
        <f t="shared" si="79"/>
        <v>0</v>
      </c>
      <c r="AN41" s="174">
        <f t="shared" si="80"/>
        <v>0</v>
      </c>
      <c r="AO41" s="173">
        <f t="shared" si="91"/>
        <v>7.9522270000000006E-2</v>
      </c>
      <c r="AP41" s="174">
        <f t="shared" si="63"/>
        <v>0</v>
      </c>
      <c r="AQ41" s="174">
        <f t="shared" si="64"/>
        <v>0</v>
      </c>
      <c r="AR41" s="174">
        <f>79522.27/1000000</f>
        <v>7.9522270000000006E-2</v>
      </c>
      <c r="AS41" s="174">
        <f t="shared" si="66"/>
        <v>0</v>
      </c>
      <c r="AT41" s="109">
        <f t="shared" si="92"/>
        <v>6.1003090000000003E-2</v>
      </c>
      <c r="AU41" s="113">
        <f t="shared" si="68"/>
        <v>0</v>
      </c>
      <c r="AV41" s="113">
        <f>5813.6/1000000+39889.49/1000000+15300/1000000</f>
        <v>6.1003090000000003E-2</v>
      </c>
      <c r="AW41" s="113">
        <f t="shared" si="70"/>
        <v>0</v>
      </c>
      <c r="AX41" s="113">
        <f t="shared" si="71"/>
        <v>0</v>
      </c>
      <c r="AY41" s="113">
        <f t="shared" si="72"/>
        <v>0</v>
      </c>
      <c r="AZ41" s="113">
        <f t="shared" si="73"/>
        <v>0</v>
      </c>
      <c r="BA41" s="113">
        <f t="shared" si="74"/>
        <v>0</v>
      </c>
      <c r="BB41" s="113">
        <f t="shared" si="75"/>
        <v>0</v>
      </c>
      <c r="BC41" s="113">
        <f t="shared" si="76"/>
        <v>0</v>
      </c>
    </row>
    <row r="42" spans="1:55" s="548" customFormat="1" ht="63">
      <c r="A42" s="203" t="s">
        <v>1158</v>
      </c>
      <c r="B42" s="514" t="s">
        <v>1159</v>
      </c>
      <c r="C42" s="204" t="s">
        <v>876</v>
      </c>
      <c r="D42" s="177">
        <v>0</v>
      </c>
      <c r="E42" s="173">
        <f t="shared" ref="E42" si="93">SUM(F42:I42)</f>
        <v>3.37087742E-2</v>
      </c>
      <c r="F42" s="173">
        <f t="shared" ref="F42" si="94">K42+P42+U42+Z42</f>
        <v>5.0000000000000001E-3</v>
      </c>
      <c r="G42" s="173">
        <f t="shared" ref="G42" si="95">L42+Q42+V42+AA42</f>
        <v>2.1953049999999998E-2</v>
      </c>
      <c r="H42" s="173">
        <f t="shared" ref="H42" si="96">M42+R42+W42+AB42</f>
        <v>6.7557241999999986E-3</v>
      </c>
      <c r="I42" s="173">
        <f t="shared" ref="I42" si="97">N42+S42+X42+AC42</f>
        <v>0</v>
      </c>
      <c r="J42" s="173">
        <f t="shared" ref="J42" si="98">SUM(K42:N42)</f>
        <v>0</v>
      </c>
      <c r="K42" s="522">
        <f>'10'!J45</f>
        <v>0</v>
      </c>
      <c r="L42" s="174">
        <v>0</v>
      </c>
      <c r="M42" s="174">
        <v>0</v>
      </c>
      <c r="N42" s="174">
        <v>0</v>
      </c>
      <c r="O42" s="173">
        <f t="shared" ref="O42" si="99">SUM(P42:S42)</f>
        <v>0</v>
      </c>
      <c r="P42" s="174">
        <v>0</v>
      </c>
      <c r="Q42" s="174">
        <v>0</v>
      </c>
      <c r="R42" s="174">
        <v>0</v>
      </c>
      <c r="S42" s="174">
        <v>0</v>
      </c>
      <c r="T42" s="173">
        <f t="shared" ref="T42" si="100">SUM(U42:X42)</f>
        <v>3.37087742E-2</v>
      </c>
      <c r="U42" s="174">
        <f>5000/1000000</f>
        <v>5.0000000000000001E-3</v>
      </c>
      <c r="V42" s="174">
        <f>3394*1.18/1000000+17948.13/1000000</f>
        <v>2.1953049999999998E-2</v>
      </c>
      <c r="W42" s="174">
        <f>5725.19*1.18/1000000</f>
        <v>6.7557241999999986E-3</v>
      </c>
      <c r="X42" s="174">
        <v>0</v>
      </c>
      <c r="Y42" s="173">
        <f t="shared" si="61"/>
        <v>0</v>
      </c>
      <c r="Z42" s="174">
        <v>0</v>
      </c>
      <c r="AA42" s="174">
        <v>0</v>
      </c>
      <c r="AB42" s="174">
        <v>0</v>
      </c>
      <c r="AC42" s="174">
        <v>0</v>
      </c>
      <c r="AD42" s="527">
        <v>0</v>
      </c>
      <c r="AE42" s="173">
        <f t="shared" ref="AE42" si="101">AJ42+AO42+AT42+AY42</f>
        <v>3.2067320000000003E-2</v>
      </c>
      <c r="AF42" s="173">
        <f t="shared" ref="AF42" si="102">AK42+AP42+AU42+AZ42</f>
        <v>5.0000000000000001E-3</v>
      </c>
      <c r="AG42" s="173">
        <f t="shared" ref="AG42" si="103">AL42+AQ42+AV42+BA42</f>
        <v>2.1342130000000001E-2</v>
      </c>
      <c r="AH42" s="173">
        <f t="shared" ref="AH42" si="104">AM42+AR42+AW42+BB42</f>
        <v>5.7251899999999998E-3</v>
      </c>
      <c r="AI42" s="173">
        <f t="shared" ref="AI42" si="105">AN42+AS42+AX42+BC42</f>
        <v>0</v>
      </c>
      <c r="AJ42" s="173">
        <f t="shared" ref="AJ42" si="106">SUM(AK42:AN42)</f>
        <v>0</v>
      </c>
      <c r="AK42" s="174">
        <f t="shared" si="77"/>
        <v>0</v>
      </c>
      <c r="AL42" s="174">
        <f t="shared" si="78"/>
        <v>0</v>
      </c>
      <c r="AM42" s="174">
        <f t="shared" si="79"/>
        <v>0</v>
      </c>
      <c r="AN42" s="174">
        <f t="shared" si="80"/>
        <v>0</v>
      </c>
      <c r="AO42" s="173">
        <f t="shared" ref="AO42" si="107">SUM(AP42:AS42)</f>
        <v>0</v>
      </c>
      <c r="AP42" s="174">
        <f t="shared" si="63"/>
        <v>0</v>
      </c>
      <c r="AQ42" s="174">
        <f t="shared" si="64"/>
        <v>0</v>
      </c>
      <c r="AR42" s="174">
        <f t="shared" si="65"/>
        <v>0</v>
      </c>
      <c r="AS42" s="174">
        <f t="shared" si="66"/>
        <v>0</v>
      </c>
      <c r="AT42" s="109">
        <f t="shared" ref="AT42" si="108">SUM(AU42:AX42)</f>
        <v>3.2067320000000003E-2</v>
      </c>
      <c r="AU42" s="174">
        <f>5000/1000000</f>
        <v>5.0000000000000001E-3</v>
      </c>
      <c r="AV42" s="174">
        <f>3394/1000000+17948.13/1000000</f>
        <v>2.1342130000000001E-2</v>
      </c>
      <c r="AW42" s="174">
        <f>5725.19/1000000</f>
        <v>5.7251899999999998E-3</v>
      </c>
      <c r="AX42" s="174">
        <v>0</v>
      </c>
      <c r="AY42" s="113">
        <f t="shared" si="72"/>
        <v>0</v>
      </c>
      <c r="AZ42" s="113">
        <f t="shared" si="73"/>
        <v>0</v>
      </c>
      <c r="BA42" s="113">
        <f t="shared" si="74"/>
        <v>0</v>
      </c>
      <c r="BB42" s="113">
        <f t="shared" si="75"/>
        <v>0</v>
      </c>
      <c r="BC42" s="113">
        <f t="shared" si="76"/>
        <v>0</v>
      </c>
    </row>
    <row r="43" spans="1:55" s="548" customFormat="1" ht="63">
      <c r="A43" s="203" t="s">
        <v>1158</v>
      </c>
      <c r="B43" s="508" t="s">
        <v>1160</v>
      </c>
      <c r="C43" s="204" t="s">
        <v>876</v>
      </c>
      <c r="D43" s="177">
        <v>0</v>
      </c>
      <c r="E43" s="173">
        <f t="shared" si="83"/>
        <v>0.104439084</v>
      </c>
      <c r="F43" s="173">
        <f t="shared" si="56"/>
        <v>5.0999999999999997E-2</v>
      </c>
      <c r="G43" s="173">
        <f t="shared" si="57"/>
        <v>3.19860114E-2</v>
      </c>
      <c r="H43" s="173">
        <f t="shared" si="58"/>
        <v>2.1453072600000001E-2</v>
      </c>
      <c r="I43" s="173">
        <f t="shared" si="59"/>
        <v>0</v>
      </c>
      <c r="J43" s="173">
        <f t="shared" si="84"/>
        <v>0</v>
      </c>
      <c r="K43" s="522">
        <f>'10'!J46</f>
        <v>0</v>
      </c>
      <c r="L43" s="174">
        <v>0</v>
      </c>
      <c r="M43" s="174">
        <v>0</v>
      </c>
      <c r="N43" s="174">
        <v>0</v>
      </c>
      <c r="O43" s="173">
        <f t="shared" si="85"/>
        <v>0</v>
      </c>
      <c r="P43" s="174">
        <v>0</v>
      </c>
      <c r="Q43" s="174">
        <v>0</v>
      </c>
      <c r="R43" s="174">
        <v>0</v>
      </c>
      <c r="S43" s="174">
        <v>0</v>
      </c>
      <c r="T43" s="173">
        <f t="shared" si="81"/>
        <v>0</v>
      </c>
      <c r="U43" s="174">
        <v>0</v>
      </c>
      <c r="V43" s="174">
        <v>0</v>
      </c>
      <c r="W43" s="174">
        <v>0</v>
      </c>
      <c r="X43" s="174">
        <v>0</v>
      </c>
      <c r="Y43" s="173">
        <f t="shared" si="61"/>
        <v>0.104439084</v>
      </c>
      <c r="Z43" s="174">
        <f>51000/1000000</f>
        <v>5.0999999999999997E-2</v>
      </c>
      <c r="AA43" s="174">
        <f>4539.23*1.18/1000000+26629.72/1000000</f>
        <v>3.19860114E-2</v>
      </c>
      <c r="AB43" s="174">
        <f>18180.57*1.18/1000000</f>
        <v>2.1453072600000001E-2</v>
      </c>
      <c r="AC43" s="174">
        <v>0</v>
      </c>
      <c r="AD43" s="527">
        <v>0</v>
      </c>
      <c r="AE43" s="173">
        <f t="shared" si="86"/>
        <v>0.10034952</v>
      </c>
      <c r="AF43" s="173">
        <f t="shared" si="87"/>
        <v>5.0999999999999997E-2</v>
      </c>
      <c r="AG43" s="173">
        <f t="shared" si="88"/>
        <v>3.1168950000000001E-2</v>
      </c>
      <c r="AH43" s="173">
        <f t="shared" si="89"/>
        <v>1.818057E-2</v>
      </c>
      <c r="AI43" s="173">
        <f t="shared" si="90"/>
        <v>0</v>
      </c>
      <c r="AJ43" s="173">
        <f t="shared" si="62"/>
        <v>0</v>
      </c>
      <c r="AK43" s="174">
        <f t="shared" si="77"/>
        <v>0</v>
      </c>
      <c r="AL43" s="174">
        <f t="shared" si="78"/>
        <v>0</v>
      </c>
      <c r="AM43" s="174">
        <f t="shared" si="79"/>
        <v>0</v>
      </c>
      <c r="AN43" s="174">
        <f t="shared" si="80"/>
        <v>0</v>
      </c>
      <c r="AO43" s="173">
        <f t="shared" si="91"/>
        <v>0</v>
      </c>
      <c r="AP43" s="174">
        <f t="shared" si="63"/>
        <v>0</v>
      </c>
      <c r="AQ43" s="174">
        <f t="shared" si="64"/>
        <v>0</v>
      </c>
      <c r="AR43" s="174">
        <f t="shared" si="65"/>
        <v>0</v>
      </c>
      <c r="AS43" s="174">
        <f t="shared" si="66"/>
        <v>0</v>
      </c>
      <c r="AT43" s="109">
        <f t="shared" si="92"/>
        <v>0</v>
      </c>
      <c r="AU43" s="113">
        <f t="shared" si="68"/>
        <v>0</v>
      </c>
      <c r="AV43" s="113">
        <f t="shared" si="69"/>
        <v>0</v>
      </c>
      <c r="AW43" s="113">
        <f t="shared" si="70"/>
        <v>0</v>
      </c>
      <c r="AX43" s="113">
        <f t="shared" si="71"/>
        <v>0</v>
      </c>
      <c r="AY43" s="113">
        <f t="shared" si="72"/>
        <v>0.10034952</v>
      </c>
      <c r="AZ43" s="174">
        <f>51000/1000000</f>
        <v>5.0999999999999997E-2</v>
      </c>
      <c r="BA43" s="174">
        <f>4539.23/1000000+26629.72/1000000</f>
        <v>3.1168950000000001E-2</v>
      </c>
      <c r="BB43" s="174">
        <f>18180.57/1000000</f>
        <v>1.818057E-2</v>
      </c>
      <c r="BC43" s="174">
        <v>0</v>
      </c>
    </row>
    <row r="44" spans="1:55" s="548" customFormat="1" ht="63">
      <c r="A44" s="203" t="s">
        <v>1158</v>
      </c>
      <c r="B44" s="508" t="s">
        <v>1161</v>
      </c>
      <c r="C44" s="204" t="s">
        <v>876</v>
      </c>
      <c r="D44" s="177">
        <v>0</v>
      </c>
      <c r="E44" s="173">
        <f t="shared" ref="E44" si="109">SUM(F44:I44)</f>
        <v>3.8461343600000003E-2</v>
      </c>
      <c r="F44" s="173">
        <f t="shared" ref="F44" si="110">K44+P44+U44+Z44</f>
        <v>0.01</v>
      </c>
      <c r="G44" s="173">
        <f t="shared" ref="G44" si="111">L44+Q44+V44+AA44</f>
        <v>2.0915019399999998E-2</v>
      </c>
      <c r="H44" s="173">
        <f t="shared" ref="H44" si="112">M44+R44+W44+AB44</f>
        <v>7.5463241999999993E-3</v>
      </c>
      <c r="I44" s="173">
        <f t="shared" ref="I44" si="113">N44+S44+X44+AC44</f>
        <v>0</v>
      </c>
      <c r="J44" s="173">
        <f t="shared" ref="J44" si="114">SUM(K44:N44)</f>
        <v>0</v>
      </c>
      <c r="K44" s="522">
        <v>0</v>
      </c>
      <c r="L44" s="174">
        <v>0</v>
      </c>
      <c r="M44" s="174">
        <v>0</v>
      </c>
      <c r="N44" s="174">
        <v>0</v>
      </c>
      <c r="O44" s="173">
        <f t="shared" ref="O44" si="115">SUM(P44:S44)</f>
        <v>0</v>
      </c>
      <c r="P44" s="174">
        <v>0</v>
      </c>
      <c r="Q44" s="174">
        <v>0</v>
      </c>
      <c r="R44" s="174">
        <v>0</v>
      </c>
      <c r="S44" s="174">
        <v>0</v>
      </c>
      <c r="T44" s="173">
        <f t="shared" ref="T44" si="116">SUM(U44:X44)</f>
        <v>0</v>
      </c>
      <c r="U44" s="174">
        <v>0</v>
      </c>
      <c r="V44" s="174">
        <v>0</v>
      </c>
      <c r="W44" s="174">
        <v>0</v>
      </c>
      <c r="X44" s="174">
        <v>0</v>
      </c>
      <c r="Y44" s="173">
        <f t="shared" si="61"/>
        <v>3.8461343600000003E-2</v>
      </c>
      <c r="Z44" s="174">
        <f>10000/1000000</f>
        <v>0.01</v>
      </c>
      <c r="AA44" s="174">
        <f>2850.83*1.18/1000000+17551.04/1000000</f>
        <v>2.0915019399999998E-2</v>
      </c>
      <c r="AB44" s="174">
        <f>6395.19*1.18/1000000</f>
        <v>7.5463241999999993E-3</v>
      </c>
      <c r="AC44" s="174">
        <v>0</v>
      </c>
      <c r="AD44" s="527">
        <v>0</v>
      </c>
      <c r="AE44" s="173">
        <f t="shared" ref="AE44" si="117">AJ44+AO44+AT44+AY44</f>
        <v>3.6797059999999999E-2</v>
      </c>
      <c r="AF44" s="173">
        <f t="shared" ref="AF44" si="118">AK44+AP44+AU44+AZ44</f>
        <v>0.01</v>
      </c>
      <c r="AG44" s="173">
        <f t="shared" ref="AG44" si="119">AL44+AQ44+AV44+BA44</f>
        <v>2.0401869999999999E-2</v>
      </c>
      <c r="AH44" s="173">
        <f t="shared" ref="AH44" si="120">AM44+AR44+AW44+BB44</f>
        <v>6.3951899999999994E-3</v>
      </c>
      <c r="AI44" s="173">
        <f t="shared" ref="AI44" si="121">AN44+AS44+AX44+BC44</f>
        <v>0</v>
      </c>
      <c r="AJ44" s="173">
        <f t="shared" ref="AJ44" si="122">SUM(AK44:AN44)</f>
        <v>0</v>
      </c>
      <c r="AK44" s="174">
        <f t="shared" si="77"/>
        <v>0</v>
      </c>
      <c r="AL44" s="174">
        <f t="shared" si="78"/>
        <v>0</v>
      </c>
      <c r="AM44" s="174">
        <f t="shared" si="79"/>
        <v>0</v>
      </c>
      <c r="AN44" s="174">
        <f t="shared" si="80"/>
        <v>0</v>
      </c>
      <c r="AO44" s="173">
        <f t="shared" ref="AO44" si="123">SUM(AP44:AS44)</f>
        <v>0</v>
      </c>
      <c r="AP44" s="174">
        <f t="shared" si="63"/>
        <v>0</v>
      </c>
      <c r="AQ44" s="174">
        <f t="shared" si="64"/>
        <v>0</v>
      </c>
      <c r="AR44" s="174">
        <f t="shared" si="65"/>
        <v>0</v>
      </c>
      <c r="AS44" s="174">
        <f t="shared" si="66"/>
        <v>0</v>
      </c>
      <c r="AT44" s="109">
        <f t="shared" ref="AT44" si="124">SUM(AU44:AX44)</f>
        <v>0</v>
      </c>
      <c r="AU44" s="113">
        <f t="shared" si="68"/>
        <v>0</v>
      </c>
      <c r="AV44" s="113">
        <f t="shared" si="69"/>
        <v>0</v>
      </c>
      <c r="AW44" s="113">
        <f t="shared" si="70"/>
        <v>0</v>
      </c>
      <c r="AX44" s="113">
        <f t="shared" si="71"/>
        <v>0</v>
      </c>
      <c r="AY44" s="113">
        <f t="shared" si="72"/>
        <v>3.6797059999999999E-2</v>
      </c>
      <c r="AZ44" s="174">
        <f>10000/1000000</f>
        <v>0.01</v>
      </c>
      <c r="BA44" s="174">
        <f>2850.83/1000000+17551.04/1000000</f>
        <v>2.0401869999999999E-2</v>
      </c>
      <c r="BB44" s="174">
        <f>6395.19/1000000</f>
        <v>6.3951899999999994E-3</v>
      </c>
      <c r="BC44" s="174">
        <v>0</v>
      </c>
    </row>
    <row r="45" spans="1:55" s="548" customFormat="1" ht="63">
      <c r="A45" s="203" t="s">
        <v>1158</v>
      </c>
      <c r="B45" s="508" t="s">
        <v>1162</v>
      </c>
      <c r="C45" s="204" t="s">
        <v>876</v>
      </c>
      <c r="D45" s="177">
        <v>0</v>
      </c>
      <c r="E45" s="173">
        <f t="shared" si="83"/>
        <v>0.15882421320000001</v>
      </c>
      <c r="F45" s="173">
        <f t="shared" si="56"/>
        <v>0</v>
      </c>
      <c r="G45" s="173">
        <f t="shared" si="57"/>
        <v>6.54615276E-2</v>
      </c>
      <c r="H45" s="173">
        <f t="shared" si="58"/>
        <v>9.3362685599999995E-2</v>
      </c>
      <c r="I45" s="173">
        <f t="shared" si="59"/>
        <v>0</v>
      </c>
      <c r="J45" s="173">
        <f t="shared" si="84"/>
        <v>0</v>
      </c>
      <c r="K45" s="522">
        <v>0</v>
      </c>
      <c r="L45" s="174">
        <v>0</v>
      </c>
      <c r="M45" s="174">
        <v>0</v>
      </c>
      <c r="N45" s="174">
        <v>0</v>
      </c>
      <c r="O45" s="173">
        <f t="shared" si="85"/>
        <v>0</v>
      </c>
      <c r="P45" s="174">
        <v>0</v>
      </c>
      <c r="Q45" s="174">
        <v>0</v>
      </c>
      <c r="R45" s="174">
        <v>0</v>
      </c>
      <c r="S45" s="174">
        <v>0</v>
      </c>
      <c r="T45" s="173">
        <f t="shared" si="81"/>
        <v>0</v>
      </c>
      <c r="U45" s="174">
        <v>0</v>
      </c>
      <c r="V45" s="174">
        <v>0</v>
      </c>
      <c r="W45" s="174">
        <v>0</v>
      </c>
      <c r="X45" s="174">
        <v>0</v>
      </c>
      <c r="Y45" s="173">
        <f t="shared" si="61"/>
        <v>0.15882421320000001</v>
      </c>
      <c r="Z45" s="174">
        <v>0</v>
      </c>
      <c r="AA45" s="174">
        <f>15037.32*1.18/1000000+47717.49/1000000</f>
        <v>6.54615276E-2</v>
      </c>
      <c r="AB45" s="174">
        <f>79120.92*1.18/1000000</f>
        <v>9.3362685599999995E-2</v>
      </c>
      <c r="AC45" s="174">
        <v>0</v>
      </c>
      <c r="AD45" s="527">
        <v>0</v>
      </c>
      <c r="AE45" s="173">
        <f t="shared" si="86"/>
        <v>0.20287572999999998</v>
      </c>
      <c r="AF45" s="173">
        <f t="shared" si="87"/>
        <v>6.0999999999999999E-2</v>
      </c>
      <c r="AG45" s="173">
        <f t="shared" si="88"/>
        <v>6.2754809999999994E-2</v>
      </c>
      <c r="AH45" s="173">
        <f t="shared" si="89"/>
        <v>7.9120919999999997E-2</v>
      </c>
      <c r="AI45" s="173">
        <f t="shared" si="90"/>
        <v>0</v>
      </c>
      <c r="AJ45" s="173">
        <f t="shared" si="62"/>
        <v>0</v>
      </c>
      <c r="AK45" s="174">
        <f t="shared" si="77"/>
        <v>0</v>
      </c>
      <c r="AL45" s="174">
        <f t="shared" si="78"/>
        <v>0</v>
      </c>
      <c r="AM45" s="174">
        <f t="shared" si="79"/>
        <v>0</v>
      </c>
      <c r="AN45" s="174">
        <f t="shared" si="80"/>
        <v>0</v>
      </c>
      <c r="AO45" s="173">
        <f t="shared" si="91"/>
        <v>0</v>
      </c>
      <c r="AP45" s="174">
        <f t="shared" si="63"/>
        <v>0</v>
      </c>
      <c r="AQ45" s="174">
        <f t="shared" si="64"/>
        <v>0</v>
      </c>
      <c r="AR45" s="174">
        <f t="shared" si="65"/>
        <v>0</v>
      </c>
      <c r="AS45" s="174">
        <f t="shared" si="66"/>
        <v>0</v>
      </c>
      <c r="AT45" s="109">
        <f t="shared" si="92"/>
        <v>0</v>
      </c>
      <c r="AU45" s="113">
        <f t="shared" si="68"/>
        <v>0</v>
      </c>
      <c r="AV45" s="113">
        <f t="shared" si="69"/>
        <v>0</v>
      </c>
      <c r="AW45" s="113">
        <f t="shared" si="70"/>
        <v>0</v>
      </c>
      <c r="AX45" s="113">
        <f t="shared" si="71"/>
        <v>0</v>
      </c>
      <c r="AY45" s="113">
        <f t="shared" si="72"/>
        <v>0.20287572999999998</v>
      </c>
      <c r="AZ45" s="174">
        <f>61000/1000000</f>
        <v>6.0999999999999999E-2</v>
      </c>
      <c r="BA45" s="174">
        <f>15037.32/1000000+47717.49/1000000</f>
        <v>6.2754809999999994E-2</v>
      </c>
      <c r="BB45" s="174">
        <f>79120.92/1000000</f>
        <v>7.9120919999999997E-2</v>
      </c>
      <c r="BC45" s="174">
        <v>0</v>
      </c>
    </row>
    <row r="46" spans="1:55" s="548" customFormat="1" ht="63">
      <c r="A46" s="203" t="s">
        <v>1158</v>
      </c>
      <c r="B46" s="508" t="s">
        <v>1163</v>
      </c>
      <c r="C46" s="204" t="s">
        <v>876</v>
      </c>
      <c r="D46" s="177">
        <v>0</v>
      </c>
      <c r="E46" s="173">
        <f t="shared" ref="E46" si="125">SUM(F46:I46)</f>
        <v>2.7424775000000002E-2</v>
      </c>
      <c r="F46" s="173">
        <f t="shared" ref="F46" si="126">K46+P46+U46+Z46</f>
        <v>0</v>
      </c>
      <c r="G46" s="173">
        <f t="shared" ref="G46" si="127">L46+Q46+V46+AA46</f>
        <v>1.8380700400000002E-2</v>
      </c>
      <c r="H46" s="173">
        <f t="shared" ref="H46" si="128">M46+R46+W46+AB46</f>
        <v>9.0440746000000002E-3</v>
      </c>
      <c r="I46" s="173">
        <f t="shared" ref="I46" si="129">N46+S46+X46+AC46</f>
        <v>0</v>
      </c>
      <c r="J46" s="173">
        <f t="shared" ref="J46" si="130">SUM(K46:N46)</f>
        <v>0</v>
      </c>
      <c r="K46" s="522">
        <f>'10'!J49</f>
        <v>0</v>
      </c>
      <c r="L46" s="174">
        <v>0</v>
      </c>
      <c r="M46" s="174">
        <v>0</v>
      </c>
      <c r="N46" s="174">
        <v>0</v>
      </c>
      <c r="O46" s="173">
        <f>SUM(P46:S46)</f>
        <v>0</v>
      </c>
      <c r="P46" s="174">
        <v>0</v>
      </c>
      <c r="Q46" s="174">
        <v>0</v>
      </c>
      <c r="R46" s="174">
        <v>0</v>
      </c>
      <c r="S46" s="174">
        <v>0</v>
      </c>
      <c r="T46" s="173">
        <f>SUM(U46:X46)</f>
        <v>0</v>
      </c>
      <c r="U46" s="174">
        <v>0</v>
      </c>
      <c r="V46" s="174">
        <v>0</v>
      </c>
      <c r="W46" s="174">
        <v>0</v>
      </c>
      <c r="X46" s="174">
        <v>0</v>
      </c>
      <c r="Y46" s="173">
        <f t="shared" si="61"/>
        <v>2.7424775000000002E-2</v>
      </c>
      <c r="Z46" s="174">
        <v>0</v>
      </c>
      <c r="AA46" s="174">
        <f>2487.78*1.18/1000000+15445.12/1000000</f>
        <v>1.8380700400000002E-2</v>
      </c>
      <c r="AB46" s="174">
        <f>7664.47*1.18/1000000</f>
        <v>9.0440746000000002E-3</v>
      </c>
      <c r="AC46" s="174">
        <v>0</v>
      </c>
      <c r="AD46" s="527">
        <v>0</v>
      </c>
      <c r="AE46" s="173">
        <f t="shared" ref="AE46" si="131">AJ46+AO46+AT46+AY46</f>
        <v>3.5597370000000003E-2</v>
      </c>
      <c r="AF46" s="173">
        <f t="shared" ref="AF46" si="132">AK46+AP46+AU46+AZ46</f>
        <v>0.01</v>
      </c>
      <c r="AG46" s="173">
        <f t="shared" ref="AG46" si="133">AL46+AQ46+AV46+BA46</f>
        <v>1.7932900000000002E-2</v>
      </c>
      <c r="AH46" s="173">
        <f t="shared" ref="AH46" si="134">AM46+AR46+AW46+BB46</f>
        <v>7.6644700000000005E-3</v>
      </c>
      <c r="AI46" s="173">
        <f t="shared" ref="AI46" si="135">AN46+AS46+AX46+BC46</f>
        <v>0</v>
      </c>
      <c r="AJ46" s="173">
        <f t="shared" ref="AJ46" si="136">SUM(AK46:AN46)</f>
        <v>0</v>
      </c>
      <c r="AK46" s="174">
        <f t="shared" si="77"/>
        <v>0</v>
      </c>
      <c r="AL46" s="174">
        <f t="shared" si="78"/>
        <v>0</v>
      </c>
      <c r="AM46" s="174">
        <f t="shared" si="79"/>
        <v>0</v>
      </c>
      <c r="AN46" s="174">
        <f t="shared" si="80"/>
        <v>0</v>
      </c>
      <c r="AO46" s="173">
        <f t="shared" ref="AO46" si="137">SUM(AP46:AS46)</f>
        <v>0</v>
      </c>
      <c r="AP46" s="174">
        <f t="shared" si="63"/>
        <v>0</v>
      </c>
      <c r="AQ46" s="174">
        <f t="shared" si="64"/>
        <v>0</v>
      </c>
      <c r="AR46" s="174">
        <f t="shared" si="65"/>
        <v>0</v>
      </c>
      <c r="AS46" s="174">
        <f t="shared" si="66"/>
        <v>0</v>
      </c>
      <c r="AT46" s="109">
        <f t="shared" ref="AT46" si="138">SUM(AU46:AX46)</f>
        <v>0</v>
      </c>
      <c r="AU46" s="113">
        <f t="shared" si="68"/>
        <v>0</v>
      </c>
      <c r="AV46" s="113">
        <f t="shared" si="69"/>
        <v>0</v>
      </c>
      <c r="AW46" s="113">
        <f t="shared" si="70"/>
        <v>0</v>
      </c>
      <c r="AX46" s="113">
        <f t="shared" si="71"/>
        <v>0</v>
      </c>
      <c r="AY46" s="113">
        <f t="shared" si="72"/>
        <v>3.5597370000000003E-2</v>
      </c>
      <c r="AZ46" s="174">
        <f>10000/1000000</f>
        <v>0.01</v>
      </c>
      <c r="BA46" s="174">
        <f>2487.78/1000000+15445.12/1000000</f>
        <v>1.7932900000000002E-2</v>
      </c>
      <c r="BB46" s="174">
        <f>7664.47/1000000</f>
        <v>7.6644700000000005E-3</v>
      </c>
      <c r="BC46" s="174">
        <v>0</v>
      </c>
    </row>
    <row r="47" spans="1:55" s="152" customFormat="1" ht="47.25">
      <c r="A47" s="203" t="s">
        <v>1158</v>
      </c>
      <c r="B47" s="508" t="s">
        <v>1164</v>
      </c>
      <c r="C47" s="204" t="s">
        <v>876</v>
      </c>
      <c r="D47" s="177">
        <v>0</v>
      </c>
      <c r="E47" s="173">
        <f t="shared" si="83"/>
        <v>0</v>
      </c>
      <c r="F47" s="173">
        <f t="shared" si="56"/>
        <v>0</v>
      </c>
      <c r="G47" s="173">
        <f t="shared" si="57"/>
        <v>0</v>
      </c>
      <c r="H47" s="173">
        <f t="shared" si="58"/>
        <v>0</v>
      </c>
      <c r="I47" s="173">
        <f t="shared" si="59"/>
        <v>0</v>
      </c>
      <c r="J47" s="173">
        <f t="shared" si="84"/>
        <v>0</v>
      </c>
      <c r="K47" s="522">
        <f>'10'!J50</f>
        <v>0</v>
      </c>
      <c r="L47" s="174">
        <v>0</v>
      </c>
      <c r="M47" s="174">
        <v>0</v>
      </c>
      <c r="N47" s="174">
        <v>0</v>
      </c>
      <c r="O47" s="173">
        <f t="shared" si="85"/>
        <v>0</v>
      </c>
      <c r="P47" s="174">
        <v>0</v>
      </c>
      <c r="Q47" s="174">
        <v>0</v>
      </c>
      <c r="R47" s="174">
        <v>0</v>
      </c>
      <c r="S47" s="174">
        <v>0</v>
      </c>
      <c r="T47" s="173">
        <f t="shared" si="81"/>
        <v>0</v>
      </c>
      <c r="U47" s="174">
        <v>0</v>
      </c>
      <c r="V47" s="174">
        <v>0</v>
      </c>
      <c r="W47" s="174">
        <v>0</v>
      </c>
      <c r="X47" s="174">
        <v>0</v>
      </c>
      <c r="Y47" s="173">
        <f t="shared" si="61"/>
        <v>0</v>
      </c>
      <c r="Z47" s="174">
        <v>0</v>
      </c>
      <c r="AA47" s="174">
        <v>0</v>
      </c>
      <c r="AB47" s="174">
        <v>0</v>
      </c>
      <c r="AC47" s="174">
        <v>0</v>
      </c>
      <c r="AD47" s="527">
        <v>0</v>
      </c>
      <c r="AE47" s="173">
        <f t="shared" si="86"/>
        <v>0.06</v>
      </c>
      <c r="AF47" s="173">
        <f t="shared" si="87"/>
        <v>0.06</v>
      </c>
      <c r="AG47" s="173">
        <f t="shared" si="88"/>
        <v>0</v>
      </c>
      <c r="AH47" s="173">
        <f t="shared" si="89"/>
        <v>0</v>
      </c>
      <c r="AI47" s="173">
        <f t="shared" si="90"/>
        <v>0</v>
      </c>
      <c r="AJ47" s="173">
        <f t="shared" si="62"/>
        <v>0</v>
      </c>
      <c r="AK47" s="174">
        <f>K47/1.18</f>
        <v>0</v>
      </c>
      <c r="AL47" s="174">
        <f>L47/1.18</f>
        <v>0</v>
      </c>
      <c r="AM47" s="174">
        <f>M47/1.18</f>
        <v>0</v>
      </c>
      <c r="AN47" s="174">
        <f>N47/1.18</f>
        <v>0</v>
      </c>
      <c r="AO47" s="173">
        <f t="shared" si="91"/>
        <v>0</v>
      </c>
      <c r="AP47" s="174">
        <f t="shared" si="63"/>
        <v>0</v>
      </c>
      <c r="AQ47" s="174">
        <f t="shared" si="64"/>
        <v>0</v>
      </c>
      <c r="AR47" s="174">
        <f t="shared" si="65"/>
        <v>0</v>
      </c>
      <c r="AS47" s="174">
        <f t="shared" si="66"/>
        <v>0</v>
      </c>
      <c r="AT47" s="109">
        <f t="shared" si="92"/>
        <v>0</v>
      </c>
      <c r="AU47" s="113">
        <f t="shared" si="68"/>
        <v>0</v>
      </c>
      <c r="AV47" s="113">
        <f t="shared" si="69"/>
        <v>0</v>
      </c>
      <c r="AW47" s="113">
        <f t="shared" si="70"/>
        <v>0</v>
      </c>
      <c r="AX47" s="113">
        <f t="shared" si="71"/>
        <v>0</v>
      </c>
      <c r="AY47" s="113">
        <f t="shared" si="72"/>
        <v>0.06</v>
      </c>
      <c r="AZ47" s="113">
        <v>0.06</v>
      </c>
      <c r="BA47" s="113">
        <f t="shared" si="74"/>
        <v>0</v>
      </c>
      <c r="BB47" s="113">
        <f t="shared" si="75"/>
        <v>0</v>
      </c>
      <c r="BC47" s="113">
        <f t="shared" si="76"/>
        <v>0</v>
      </c>
    </row>
    <row r="48" spans="1:55" s="105" customFormat="1" ht="78.75">
      <c r="A48" s="237" t="s">
        <v>392</v>
      </c>
      <c r="B48" s="200" t="s">
        <v>893</v>
      </c>
      <c r="C48" s="202" t="s">
        <v>876</v>
      </c>
      <c r="D48" s="177">
        <v>0</v>
      </c>
      <c r="E48" s="173">
        <f t="shared" si="20"/>
        <v>1.0540886817999999</v>
      </c>
      <c r="F48" s="173">
        <f t="shared" si="4"/>
        <v>0.3320000052</v>
      </c>
      <c r="G48" s="173">
        <f t="shared" si="5"/>
        <v>0.26829356320000003</v>
      </c>
      <c r="H48" s="173">
        <f t="shared" si="6"/>
        <v>0.45379511340000001</v>
      </c>
      <c r="I48" s="173">
        <f t="shared" si="7"/>
        <v>0</v>
      </c>
      <c r="J48" s="173">
        <f>SUM(K48:N48)</f>
        <v>0.20393586779999998</v>
      </c>
      <c r="K48" s="522">
        <f>SUM(K49:K54)</f>
        <v>7.9999999799999985E-2</v>
      </c>
      <c r="L48" s="522">
        <f t="shared" ref="L48:N48" si="139">SUM(L49:L54)</f>
        <v>3.9538138E-2</v>
      </c>
      <c r="M48" s="522">
        <f t="shared" si="139"/>
        <v>8.439772999999999E-2</v>
      </c>
      <c r="N48" s="522">
        <f t="shared" si="139"/>
        <v>0</v>
      </c>
      <c r="O48" s="173">
        <f t="shared" si="8"/>
        <v>3.87430754E-2</v>
      </c>
      <c r="P48" s="522">
        <f t="shared" ref="P48" si="140">SUM(P49:P54)</f>
        <v>0</v>
      </c>
      <c r="Q48" s="522">
        <f t="shared" ref="Q48" si="141">SUM(Q49:Q54)</f>
        <v>1.4390707399999999E-2</v>
      </c>
      <c r="R48" s="522">
        <f t="shared" ref="R48" si="142">SUM(R49:R54)</f>
        <v>2.4352367999999999E-2</v>
      </c>
      <c r="S48" s="522">
        <f t="shared" ref="S48" si="143">SUM(S49:S54)</f>
        <v>0</v>
      </c>
      <c r="T48" s="173">
        <f>SUM(U48:X48)</f>
        <v>0.81140973859999999</v>
      </c>
      <c r="U48" s="522">
        <f>SUM(U49:U54)</f>
        <v>0.2520000054</v>
      </c>
      <c r="V48" s="522">
        <f t="shared" ref="V48:X48" si="144">SUM(V49:V54)</f>
        <v>0.21436471780000002</v>
      </c>
      <c r="W48" s="522">
        <f t="shared" si="144"/>
        <v>0.34504501539999999</v>
      </c>
      <c r="X48" s="522">
        <f t="shared" si="144"/>
        <v>0</v>
      </c>
      <c r="Y48" s="173">
        <f>SUM(Z48:AC48)</f>
        <v>0</v>
      </c>
      <c r="Z48" s="174">
        <f>SUM(Z49:Z54)</f>
        <v>0</v>
      </c>
      <c r="AA48" s="174">
        <f t="shared" ref="AA48:AC48" si="145">SUM(AA49:AA54)</f>
        <v>0</v>
      </c>
      <c r="AB48" s="174">
        <f t="shared" si="145"/>
        <v>0</v>
      </c>
      <c r="AC48" s="174">
        <f t="shared" si="145"/>
        <v>0</v>
      </c>
      <c r="AD48" s="178" t="s">
        <v>1009</v>
      </c>
      <c r="AE48" s="173">
        <f>AJ48+AO48+AT48+AY48</f>
        <v>1.7583254308474578</v>
      </c>
      <c r="AF48" s="173">
        <f>AK48+AP48+AU48+AZ48</f>
        <v>0.28928814000000003</v>
      </c>
      <c r="AG48" s="173">
        <f>AL48+AQ48+AV48+BA48</f>
        <v>0.35247363542372878</v>
      </c>
      <c r="AH48" s="173">
        <f t="shared" si="10"/>
        <v>1.1165636554237288</v>
      </c>
      <c r="AI48" s="173">
        <f t="shared" si="11"/>
        <v>0</v>
      </c>
      <c r="AJ48" s="173">
        <f>SUM(AJ49:AJ54)</f>
        <v>0.17795553000000003</v>
      </c>
      <c r="AK48" s="173">
        <f t="shared" ref="AK48:AR48" si="146">SUM(AK49:AK54)</f>
        <v>6.7796610000000007E-2</v>
      </c>
      <c r="AL48" s="173">
        <f t="shared" si="146"/>
        <v>3.8635419999999997E-2</v>
      </c>
      <c r="AM48" s="173">
        <f t="shared" si="146"/>
        <v>7.1523500000000004E-2</v>
      </c>
      <c r="AN48" s="173">
        <f t="shared" si="146"/>
        <v>0</v>
      </c>
      <c r="AO48" s="173">
        <f t="shared" si="146"/>
        <v>3.4859029999999999E-2</v>
      </c>
      <c r="AP48" s="173">
        <f t="shared" si="146"/>
        <v>0</v>
      </c>
      <c r="AQ48" s="173">
        <f t="shared" si="146"/>
        <v>1.422143E-2</v>
      </c>
      <c r="AR48" s="173">
        <f t="shared" si="146"/>
        <v>2.0637599999999999E-2</v>
      </c>
      <c r="AS48" s="173">
        <f>SUM(AS49:AS54)</f>
        <v>0</v>
      </c>
      <c r="AT48" s="109">
        <f>SUM(AU48:AX48)</f>
        <v>0.72147782000000005</v>
      </c>
      <c r="AU48" s="522">
        <f>SUM(AU49:AU54)</f>
        <v>0.22149152999999999</v>
      </c>
      <c r="AV48" s="522">
        <f t="shared" ref="AV48" si="147">SUM(AV49:AV54)</f>
        <v>0.20757526000000001</v>
      </c>
      <c r="AW48" s="522">
        <f t="shared" ref="AW48" si="148">SUM(AW49:AW54)</f>
        <v>0.29241103000000002</v>
      </c>
      <c r="AX48" s="522">
        <f t="shared" ref="AX48" si="149">SUM(AX49:AX54)</f>
        <v>0</v>
      </c>
      <c r="AY48" s="113">
        <f>SUM(AZ48:BC48)</f>
        <v>0.8240330508474577</v>
      </c>
      <c r="AZ48" s="113">
        <f t="shared" ref="AZ48" si="150">SUM(AZ49:AZ54)</f>
        <v>0</v>
      </c>
      <c r="BA48" s="113">
        <f t="shared" ref="BA48" si="151">SUM(BA49:BA54)</f>
        <v>9.2041525423728815E-2</v>
      </c>
      <c r="BB48" s="113">
        <f t="shared" ref="BB48" si="152">SUM(BB49:BB54)</f>
        <v>0.73199152542372892</v>
      </c>
      <c r="BC48" s="113">
        <f t="shared" ref="BC48" si="153">SUM(BC49:BC54)</f>
        <v>0</v>
      </c>
    </row>
    <row r="49" spans="1:55" s="152" customFormat="1" ht="63">
      <c r="A49" s="240" t="s">
        <v>1094</v>
      </c>
      <c r="B49" s="129" t="s">
        <v>1095</v>
      </c>
      <c r="C49" s="202" t="s">
        <v>876</v>
      </c>
      <c r="D49" s="177">
        <v>0</v>
      </c>
      <c r="E49" s="173">
        <f t="shared" ref="E49:E54" si="154">J49+O49+T49+Y49</f>
        <v>0.20393586779999998</v>
      </c>
      <c r="F49" s="173">
        <f t="shared" ref="F49:F54" si="155">K49+P49+U49+Z49</f>
        <v>7.9999999799999985E-2</v>
      </c>
      <c r="G49" s="173">
        <f t="shared" ref="G49:G54" si="156">L49+Q49+V49+AA49</f>
        <v>3.9538138E-2</v>
      </c>
      <c r="H49" s="173">
        <f t="shared" ref="H49:H54" si="157">M49+R49+W49+AB49</f>
        <v>8.439772999999999E-2</v>
      </c>
      <c r="I49" s="173">
        <f t="shared" ref="I49:I54" si="158">N49+S49+X49+AC49</f>
        <v>0</v>
      </c>
      <c r="J49" s="173">
        <f>SUM(K49:N49)</f>
        <v>0.20393586779999998</v>
      </c>
      <c r="K49" s="522">
        <f>67796.61*1.18/1000000</f>
        <v>7.9999999799999985E-2</v>
      </c>
      <c r="L49" s="174">
        <f>(5015.1*1.18+33620.32)/1000000</f>
        <v>3.9538138E-2</v>
      </c>
      <c r="M49" s="174">
        <f>71523.5*1.18/1000000</f>
        <v>8.439772999999999E-2</v>
      </c>
      <c r="N49" s="174">
        <v>0</v>
      </c>
      <c r="O49" s="173">
        <v>0</v>
      </c>
      <c r="P49" s="174">
        <v>0</v>
      </c>
      <c r="Q49" s="174">
        <v>0</v>
      </c>
      <c r="R49" s="174">
        <v>0</v>
      </c>
      <c r="S49" s="174">
        <v>0</v>
      </c>
      <c r="T49" s="173">
        <f t="shared" si="81"/>
        <v>0</v>
      </c>
      <c r="U49" s="174">
        <v>0</v>
      </c>
      <c r="V49" s="174">
        <v>0</v>
      </c>
      <c r="W49" s="174">
        <v>0</v>
      </c>
      <c r="X49" s="174">
        <v>0</v>
      </c>
      <c r="Y49" s="173">
        <f>SUM(Z49:AC49)</f>
        <v>0</v>
      </c>
      <c r="Z49" s="174">
        <v>0</v>
      </c>
      <c r="AA49" s="174">
        <v>0</v>
      </c>
      <c r="AB49" s="174">
        <v>0</v>
      </c>
      <c r="AC49" s="174">
        <v>0</v>
      </c>
      <c r="AD49" s="178">
        <v>0</v>
      </c>
      <c r="AE49" s="173">
        <f t="shared" si="52"/>
        <v>0.17795553000000003</v>
      </c>
      <c r="AF49" s="173">
        <f t="shared" si="21"/>
        <v>6.7796610000000007E-2</v>
      </c>
      <c r="AG49" s="173">
        <f t="shared" si="9"/>
        <v>3.8635419999999997E-2</v>
      </c>
      <c r="AH49" s="173">
        <f t="shared" si="10"/>
        <v>7.1523500000000004E-2</v>
      </c>
      <c r="AI49" s="173">
        <f t="shared" si="11"/>
        <v>0</v>
      </c>
      <c r="AJ49" s="173">
        <f t="shared" si="32"/>
        <v>0.17795553000000003</v>
      </c>
      <c r="AK49" s="522">
        <f>67796.61/1000000</f>
        <v>6.7796610000000007E-2</v>
      </c>
      <c r="AL49" s="174">
        <f>(5015.1+33620.32)/1000000</f>
        <v>3.8635419999999997E-2</v>
      </c>
      <c r="AM49" s="174">
        <f>71523.5/1000000</f>
        <v>7.1523500000000004E-2</v>
      </c>
      <c r="AN49" s="174">
        <v>0</v>
      </c>
      <c r="AO49" s="173">
        <f t="shared" si="43"/>
        <v>0</v>
      </c>
      <c r="AP49" s="174">
        <v>0</v>
      </c>
      <c r="AQ49" s="174">
        <v>0</v>
      </c>
      <c r="AR49" s="174">
        <v>0</v>
      </c>
      <c r="AS49" s="174">
        <v>0</v>
      </c>
      <c r="AT49" s="109">
        <f>SUM(AU49:AX49)</f>
        <v>0</v>
      </c>
      <c r="AU49" s="113">
        <v>0</v>
      </c>
      <c r="AV49" s="113">
        <v>0</v>
      </c>
      <c r="AW49" s="113">
        <v>0</v>
      </c>
      <c r="AX49" s="113">
        <v>0</v>
      </c>
      <c r="AY49" s="113">
        <f t="shared" ref="AY49:AY54" si="159">SUM(AZ49:BC49)</f>
        <v>0</v>
      </c>
      <c r="AZ49" s="113">
        <v>0</v>
      </c>
      <c r="BA49" s="113">
        <v>0</v>
      </c>
      <c r="BB49" s="113">
        <v>0</v>
      </c>
      <c r="BC49" s="113">
        <v>0</v>
      </c>
    </row>
    <row r="50" spans="1:55" s="152" customFormat="1" ht="63">
      <c r="A50" s="240" t="s">
        <v>1096</v>
      </c>
      <c r="B50" s="129" t="s">
        <v>1149</v>
      </c>
      <c r="C50" s="202" t="s">
        <v>876</v>
      </c>
      <c r="D50" s="177">
        <v>0</v>
      </c>
      <c r="E50" s="173">
        <f t="shared" si="154"/>
        <v>0.14471701240000001</v>
      </c>
      <c r="F50" s="173">
        <f t="shared" si="155"/>
        <v>6.5000005E-2</v>
      </c>
      <c r="G50" s="173">
        <f t="shared" si="156"/>
        <v>4.64799002E-2</v>
      </c>
      <c r="H50" s="173">
        <f t="shared" si="157"/>
        <v>3.3237107199999998E-2</v>
      </c>
      <c r="I50" s="173">
        <f t="shared" si="158"/>
        <v>0</v>
      </c>
      <c r="J50" s="173">
        <f t="shared" ref="J50:J53" si="160">SUM(K50:N50)</f>
        <v>0</v>
      </c>
      <c r="K50" s="522">
        <v>0</v>
      </c>
      <c r="L50" s="174">
        <v>0</v>
      </c>
      <c r="M50" s="174">
        <v>0</v>
      </c>
      <c r="N50" s="174">
        <v>0</v>
      </c>
      <c r="O50" s="173">
        <v>0</v>
      </c>
      <c r="P50" s="174">
        <v>0</v>
      </c>
      <c r="Q50" s="174">
        <v>0</v>
      </c>
      <c r="R50" s="174">
        <v>0</v>
      </c>
      <c r="S50" s="174">
        <v>0</v>
      </c>
      <c r="T50" s="173">
        <f t="shared" si="81"/>
        <v>0.14471701240000001</v>
      </c>
      <c r="U50" s="174">
        <f>55084.75*1.18/1000000</f>
        <v>6.5000005E-2</v>
      </c>
      <c r="V50" s="174">
        <f>(3973.39*1.18+41791.3)/1000000</f>
        <v>4.64799002E-2</v>
      </c>
      <c r="W50" s="174">
        <f>28167.04*1.18/1000000</f>
        <v>3.3237107199999998E-2</v>
      </c>
      <c r="X50" s="174">
        <v>0</v>
      </c>
      <c r="Y50" s="173">
        <f t="shared" ref="Y50:Y55" si="161">SUM(Z50:AC50)</f>
        <v>0</v>
      </c>
      <c r="Z50" s="174">
        <v>0</v>
      </c>
      <c r="AA50" s="174">
        <v>0</v>
      </c>
      <c r="AB50" s="174">
        <v>0</v>
      </c>
      <c r="AC50" s="174">
        <v>0</v>
      </c>
      <c r="AD50" s="178">
        <v>0</v>
      </c>
      <c r="AE50" s="173">
        <f t="shared" si="52"/>
        <v>0.12901648000000002</v>
      </c>
      <c r="AF50" s="173">
        <f t="shared" si="21"/>
        <v>5.5084750000000002E-2</v>
      </c>
      <c r="AG50" s="173">
        <f t="shared" si="9"/>
        <v>4.5764690000000004E-2</v>
      </c>
      <c r="AH50" s="173">
        <f t="shared" si="10"/>
        <v>2.8167040000000001E-2</v>
      </c>
      <c r="AI50" s="173">
        <f t="shared" si="11"/>
        <v>0</v>
      </c>
      <c r="AJ50" s="173">
        <f t="shared" si="32"/>
        <v>0</v>
      </c>
      <c r="AK50" s="174">
        <v>0</v>
      </c>
      <c r="AL50" s="174">
        <v>0</v>
      </c>
      <c r="AM50" s="174">
        <v>0</v>
      </c>
      <c r="AN50" s="174">
        <v>0</v>
      </c>
      <c r="AO50" s="173">
        <f t="shared" si="43"/>
        <v>0</v>
      </c>
      <c r="AP50" s="174">
        <v>0</v>
      </c>
      <c r="AQ50" s="174">
        <v>0</v>
      </c>
      <c r="AR50" s="174">
        <v>0</v>
      </c>
      <c r="AS50" s="174">
        <v>0</v>
      </c>
      <c r="AT50" s="109">
        <f>SUM(AU50:AX50)</f>
        <v>0.12901648000000002</v>
      </c>
      <c r="AU50" s="174">
        <f>55084.75/1000000</f>
        <v>5.5084750000000002E-2</v>
      </c>
      <c r="AV50" s="174">
        <f>(3973.39+41791.3)/1000000</f>
        <v>4.5764690000000004E-2</v>
      </c>
      <c r="AW50" s="174">
        <f>28167.04/1000000</f>
        <v>2.8167040000000001E-2</v>
      </c>
      <c r="AX50" s="174">
        <v>0</v>
      </c>
      <c r="AY50" s="113">
        <f t="shared" si="159"/>
        <v>0</v>
      </c>
      <c r="AZ50" s="113">
        <v>0</v>
      </c>
      <c r="BA50" s="113">
        <v>0</v>
      </c>
      <c r="BB50" s="113">
        <v>0</v>
      </c>
      <c r="BC50" s="113">
        <v>0</v>
      </c>
    </row>
    <row r="51" spans="1:55" s="152" customFormat="1" ht="63">
      <c r="A51" s="240" t="s">
        <v>1097</v>
      </c>
      <c r="B51" s="129" t="s">
        <v>1151</v>
      </c>
      <c r="C51" s="202" t="s">
        <v>876</v>
      </c>
      <c r="D51" s="177">
        <v>0</v>
      </c>
      <c r="E51" s="173">
        <f t="shared" si="154"/>
        <v>0.37317107820000001</v>
      </c>
      <c r="F51" s="173">
        <f t="shared" si="155"/>
        <v>7.4999997600000007E-2</v>
      </c>
      <c r="G51" s="173">
        <f t="shared" si="156"/>
        <v>9.5707199800000003E-2</v>
      </c>
      <c r="H51" s="173">
        <f t="shared" si="157"/>
        <v>0.2024638808</v>
      </c>
      <c r="I51" s="173">
        <f t="shared" si="158"/>
        <v>0</v>
      </c>
      <c r="J51" s="173">
        <f t="shared" si="160"/>
        <v>0</v>
      </c>
      <c r="K51" s="522">
        <f>'10'!J51</f>
        <v>0</v>
      </c>
      <c r="L51" s="174">
        <v>0</v>
      </c>
      <c r="M51" s="174">
        <v>0</v>
      </c>
      <c r="N51" s="174">
        <v>0</v>
      </c>
      <c r="O51" s="173">
        <f t="shared" ref="O51:O54" si="162">SUM(P51:S51)</f>
        <v>0</v>
      </c>
      <c r="P51" s="174">
        <v>0</v>
      </c>
      <c r="Q51" s="174">
        <v>0</v>
      </c>
      <c r="R51" s="174">
        <v>0</v>
      </c>
      <c r="S51" s="174">
        <v>0</v>
      </c>
      <c r="T51" s="173">
        <f t="shared" si="81"/>
        <v>0.37317107820000001</v>
      </c>
      <c r="U51" s="174">
        <f>63559.32*1.18/1000000</f>
        <v>7.4999997600000007E-2</v>
      </c>
      <c r="V51" s="174">
        <f>(9511.63*1.18+60483.48+20338.98*1.18)/1000000</f>
        <v>9.5707199800000003E-2</v>
      </c>
      <c r="W51" s="174">
        <f>171579.56*1.18/1000000</f>
        <v>0.2024638808</v>
      </c>
      <c r="X51" s="174">
        <v>0</v>
      </c>
      <c r="Y51" s="173">
        <f t="shared" si="161"/>
        <v>0</v>
      </c>
      <c r="Z51" s="174">
        <v>0</v>
      </c>
      <c r="AA51" s="174">
        <v>0</v>
      </c>
      <c r="AB51" s="174">
        <v>0</v>
      </c>
      <c r="AC51" s="174">
        <v>0</v>
      </c>
      <c r="AD51" s="178">
        <v>0</v>
      </c>
      <c r="AE51" s="173">
        <f t="shared" si="52"/>
        <v>0.32547296999999997</v>
      </c>
      <c r="AF51" s="173">
        <f t="shared" si="21"/>
        <v>6.3559320000000002E-2</v>
      </c>
      <c r="AG51" s="173">
        <f t="shared" si="9"/>
        <v>9.0334089999999992E-2</v>
      </c>
      <c r="AH51" s="173">
        <f t="shared" si="10"/>
        <v>0.17157955999999999</v>
      </c>
      <c r="AI51" s="173">
        <f t="shared" si="11"/>
        <v>0</v>
      </c>
      <c r="AJ51" s="173">
        <f t="shared" si="32"/>
        <v>0</v>
      </c>
      <c r="AK51" s="174">
        <v>0</v>
      </c>
      <c r="AL51" s="174">
        <v>0</v>
      </c>
      <c r="AM51" s="174">
        <v>0</v>
      </c>
      <c r="AN51" s="174">
        <v>0</v>
      </c>
      <c r="AO51" s="173">
        <f t="shared" si="43"/>
        <v>0</v>
      </c>
      <c r="AP51" s="174">
        <v>0</v>
      </c>
      <c r="AQ51" s="174">
        <v>0</v>
      </c>
      <c r="AR51" s="174">
        <v>0</v>
      </c>
      <c r="AS51" s="174">
        <v>0</v>
      </c>
      <c r="AT51" s="109">
        <f t="shared" ref="AT51:AT53" si="163">SUM(AU51:AX51)</f>
        <v>0.32547296999999997</v>
      </c>
      <c r="AU51" s="174">
        <f>63559.32/1000000</f>
        <v>6.3559320000000002E-2</v>
      </c>
      <c r="AV51" s="174">
        <f>(9511.63+60483.48+20338.98)/1000000</f>
        <v>9.0334089999999992E-2</v>
      </c>
      <c r="AW51" s="174">
        <f>171579.56/1000000</f>
        <v>0.17157955999999999</v>
      </c>
      <c r="AX51" s="174">
        <v>0</v>
      </c>
      <c r="AY51" s="113">
        <f t="shared" si="159"/>
        <v>0</v>
      </c>
      <c r="AZ51" s="113">
        <v>0</v>
      </c>
      <c r="BA51" s="113">
        <v>0</v>
      </c>
      <c r="BB51" s="113">
        <v>0</v>
      </c>
      <c r="BC51" s="113">
        <v>0</v>
      </c>
    </row>
    <row r="52" spans="1:55" s="152" customFormat="1" ht="63">
      <c r="A52" s="240" t="s">
        <v>1098</v>
      </c>
      <c r="B52" s="129" t="s">
        <v>1150</v>
      </c>
      <c r="C52" s="202" t="s">
        <v>876</v>
      </c>
      <c r="D52" s="177">
        <v>0</v>
      </c>
      <c r="E52" s="173">
        <f t="shared" si="154"/>
        <v>0.24152164799999998</v>
      </c>
      <c r="F52" s="173">
        <f t="shared" si="155"/>
        <v>6.0000002799999994E-2</v>
      </c>
      <c r="G52" s="173">
        <f t="shared" si="156"/>
        <v>7.217761780000001E-2</v>
      </c>
      <c r="H52" s="173">
        <f t="shared" si="157"/>
        <v>0.10934402739999999</v>
      </c>
      <c r="I52" s="173">
        <f t="shared" si="158"/>
        <v>0</v>
      </c>
      <c r="J52" s="173">
        <f t="shared" si="160"/>
        <v>0</v>
      </c>
      <c r="K52" s="522">
        <f>'10'!J53</f>
        <v>0</v>
      </c>
      <c r="L52" s="174">
        <v>0</v>
      </c>
      <c r="M52" s="174">
        <v>0</v>
      </c>
      <c r="N52" s="174">
        <v>0</v>
      </c>
      <c r="O52" s="173">
        <f t="shared" si="162"/>
        <v>0</v>
      </c>
      <c r="P52" s="174">
        <v>0</v>
      </c>
      <c r="Q52" s="174">
        <v>0</v>
      </c>
      <c r="R52" s="174">
        <v>0</v>
      </c>
      <c r="S52" s="174">
        <v>0</v>
      </c>
      <c r="T52" s="173">
        <f t="shared" si="81"/>
        <v>0.24152164799999998</v>
      </c>
      <c r="U52" s="174">
        <f>50847.46*1.18/1000000</f>
        <v>6.0000002799999994E-2</v>
      </c>
      <c r="V52" s="174">
        <f>(3895.21*1.18+67581.27)/1000000</f>
        <v>7.217761780000001E-2</v>
      </c>
      <c r="W52" s="174">
        <f>92664.43*1.18/1000000</f>
        <v>0.10934402739999999</v>
      </c>
      <c r="X52" s="174">
        <v>0</v>
      </c>
      <c r="Y52" s="173">
        <f t="shared" si="161"/>
        <v>0</v>
      </c>
      <c r="Z52" s="174">
        <v>0</v>
      </c>
      <c r="AA52" s="174">
        <v>0</v>
      </c>
      <c r="AB52" s="174">
        <v>0</v>
      </c>
      <c r="AC52" s="174">
        <v>0</v>
      </c>
      <c r="AD52" s="178">
        <v>0</v>
      </c>
      <c r="AE52" s="173">
        <f t="shared" si="52"/>
        <v>0.21498836999999998</v>
      </c>
      <c r="AF52" s="173">
        <f t="shared" si="21"/>
        <v>5.0847459999999997E-2</v>
      </c>
      <c r="AG52" s="173">
        <f t="shared" si="9"/>
        <v>7.1476480000000009E-2</v>
      </c>
      <c r="AH52" s="173">
        <f t="shared" si="10"/>
        <v>9.2664429999999992E-2</v>
      </c>
      <c r="AI52" s="173">
        <f t="shared" si="11"/>
        <v>0</v>
      </c>
      <c r="AJ52" s="173">
        <f t="shared" si="32"/>
        <v>0</v>
      </c>
      <c r="AK52" s="174">
        <v>0</v>
      </c>
      <c r="AL52" s="174">
        <v>0</v>
      </c>
      <c r="AM52" s="174">
        <v>0</v>
      </c>
      <c r="AN52" s="174">
        <v>0</v>
      </c>
      <c r="AO52" s="173">
        <f t="shared" si="43"/>
        <v>0</v>
      </c>
      <c r="AP52" s="174">
        <v>0</v>
      </c>
      <c r="AQ52" s="174">
        <v>0</v>
      </c>
      <c r="AR52" s="174">
        <v>0</v>
      </c>
      <c r="AS52" s="174">
        <v>0</v>
      </c>
      <c r="AT52" s="109">
        <f t="shared" si="163"/>
        <v>0.21498836999999998</v>
      </c>
      <c r="AU52" s="174">
        <f>50847.46/1000000</f>
        <v>5.0847459999999997E-2</v>
      </c>
      <c r="AV52" s="174">
        <f>(3895.21+67581.27)/1000000</f>
        <v>7.1476480000000009E-2</v>
      </c>
      <c r="AW52" s="174">
        <f>92664.43/1000000</f>
        <v>9.2664429999999992E-2</v>
      </c>
      <c r="AX52" s="174">
        <v>0</v>
      </c>
      <c r="AY52" s="113">
        <f t="shared" si="159"/>
        <v>0</v>
      </c>
      <c r="AZ52" s="113">
        <v>0</v>
      </c>
      <c r="BA52" s="113">
        <v>0</v>
      </c>
      <c r="BB52" s="113">
        <v>0</v>
      </c>
      <c r="BC52" s="113">
        <v>0</v>
      </c>
    </row>
    <row r="53" spans="1:55" s="152" customFormat="1" ht="63">
      <c r="A53" s="240" t="s">
        <v>1099</v>
      </c>
      <c r="B53" s="129" t="s">
        <v>1165</v>
      </c>
      <c r="C53" s="202" t="s">
        <v>876</v>
      </c>
      <c r="D53" s="177">
        <v>0</v>
      </c>
      <c r="E53" s="173">
        <f t="shared" ref="E53" si="164">J53+O53+T53+Y53</f>
        <v>3.87430754E-2</v>
      </c>
      <c r="F53" s="173">
        <f t="shared" ref="F53" si="165">K53+P53+U53+Z53</f>
        <v>0</v>
      </c>
      <c r="G53" s="173">
        <f t="shared" ref="G53" si="166">L53+Q53+V53+AA53</f>
        <v>1.4390707399999999E-2</v>
      </c>
      <c r="H53" s="173">
        <f t="shared" ref="H53" si="167">M53+R53+W53+AB53</f>
        <v>2.4352367999999999E-2</v>
      </c>
      <c r="I53" s="173">
        <f t="shared" ref="I53" si="168">N53+S53+X53+AC53</f>
        <v>0</v>
      </c>
      <c r="J53" s="173">
        <f t="shared" si="160"/>
        <v>0</v>
      </c>
      <c r="K53" s="522">
        <v>0</v>
      </c>
      <c r="L53" s="174">
        <v>0</v>
      </c>
      <c r="M53" s="174">
        <v>0</v>
      </c>
      <c r="N53" s="174">
        <v>0</v>
      </c>
      <c r="O53" s="173">
        <f t="shared" ref="O53" si="169">SUM(P53:S53)</f>
        <v>3.87430754E-2</v>
      </c>
      <c r="P53" s="174">
        <v>0</v>
      </c>
      <c r="Q53" s="174">
        <f>(940.43*1.18+13281)/1000000</f>
        <v>1.4390707399999999E-2</v>
      </c>
      <c r="R53" s="174">
        <f>20637.6*1.18/1000000</f>
        <v>2.4352367999999999E-2</v>
      </c>
      <c r="S53" s="174">
        <v>0</v>
      </c>
      <c r="T53" s="173">
        <f t="shared" si="81"/>
        <v>0</v>
      </c>
      <c r="U53" s="174">
        <v>0</v>
      </c>
      <c r="V53" s="174">
        <v>0</v>
      </c>
      <c r="W53" s="174">
        <v>0</v>
      </c>
      <c r="X53" s="174">
        <v>0</v>
      </c>
      <c r="Y53" s="173">
        <f t="shared" si="161"/>
        <v>0</v>
      </c>
      <c r="Z53" s="174">
        <v>0</v>
      </c>
      <c r="AA53" s="174">
        <v>0</v>
      </c>
      <c r="AB53" s="174">
        <v>0</v>
      </c>
      <c r="AC53" s="174">
        <v>0</v>
      </c>
      <c r="AD53" s="178">
        <v>0</v>
      </c>
      <c r="AE53" s="173">
        <f t="shared" ref="AE53" si="170">AJ53+AO53+AT53+AY53</f>
        <v>3.4859029999999999E-2</v>
      </c>
      <c r="AF53" s="173">
        <f t="shared" ref="AF53" si="171">AK53+AP53+AU53+AZ53</f>
        <v>0</v>
      </c>
      <c r="AG53" s="173">
        <f t="shared" ref="AG53" si="172">AL53+AQ53+AV53+BA53</f>
        <v>1.422143E-2</v>
      </c>
      <c r="AH53" s="173">
        <f t="shared" ref="AH53" si="173">AM53+AR53+AW53+BB53</f>
        <v>2.0637599999999999E-2</v>
      </c>
      <c r="AI53" s="173">
        <f t="shared" ref="AI53" si="174">AN53+AS53+AX53+BC53</f>
        <v>0</v>
      </c>
      <c r="AJ53" s="173">
        <f t="shared" ref="AJ53" si="175">SUM(AK53:AN53)</f>
        <v>0</v>
      </c>
      <c r="AK53" s="174">
        <v>0</v>
      </c>
      <c r="AL53" s="174">
        <v>0</v>
      </c>
      <c r="AM53" s="174">
        <v>0</v>
      </c>
      <c r="AN53" s="174">
        <v>0</v>
      </c>
      <c r="AO53" s="173">
        <f t="shared" ref="AO53" si="176">SUM(AP53:AS53)</f>
        <v>3.4859029999999999E-2</v>
      </c>
      <c r="AP53" s="174">
        <v>0</v>
      </c>
      <c r="AQ53" s="174">
        <f>(940.43+13281)/1000000</f>
        <v>1.422143E-2</v>
      </c>
      <c r="AR53" s="174">
        <f>20637.6/1000000</f>
        <v>2.0637599999999999E-2</v>
      </c>
      <c r="AS53" s="174">
        <v>0</v>
      </c>
      <c r="AT53" s="109">
        <f t="shared" si="163"/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f t="shared" si="159"/>
        <v>0</v>
      </c>
      <c r="AZ53" s="113">
        <v>0</v>
      </c>
      <c r="BA53" s="113">
        <v>0</v>
      </c>
      <c r="BB53" s="113">
        <v>0</v>
      </c>
      <c r="BC53" s="113">
        <v>0</v>
      </c>
    </row>
    <row r="54" spans="1:55" s="152" customFormat="1" ht="63">
      <c r="A54" s="203" t="s">
        <v>1152</v>
      </c>
      <c r="B54" s="129" t="s">
        <v>1153</v>
      </c>
      <c r="C54" s="202" t="s">
        <v>876</v>
      </c>
      <c r="D54" s="177">
        <v>0</v>
      </c>
      <c r="E54" s="173">
        <f t="shared" si="154"/>
        <v>5.1999999999999998E-2</v>
      </c>
      <c r="F54" s="173">
        <f t="shared" si="155"/>
        <v>5.1999999999999998E-2</v>
      </c>
      <c r="G54" s="173">
        <f t="shared" si="156"/>
        <v>0</v>
      </c>
      <c r="H54" s="173">
        <f t="shared" si="157"/>
        <v>0</v>
      </c>
      <c r="I54" s="173">
        <f t="shared" si="158"/>
        <v>0</v>
      </c>
      <c r="J54" s="173">
        <f>SUM(K54:N54)</f>
        <v>0</v>
      </c>
      <c r="K54" s="522">
        <f>'10'!J49</f>
        <v>0</v>
      </c>
      <c r="L54" s="174">
        <v>0</v>
      </c>
      <c r="M54" s="174">
        <v>0</v>
      </c>
      <c r="N54" s="174">
        <v>0</v>
      </c>
      <c r="O54" s="173">
        <f t="shared" si="162"/>
        <v>0</v>
      </c>
      <c r="P54" s="174">
        <v>0</v>
      </c>
      <c r="Q54" s="174">
        <v>0</v>
      </c>
      <c r="R54" s="174">
        <v>0</v>
      </c>
      <c r="S54" s="174">
        <v>0</v>
      </c>
      <c r="T54" s="173">
        <f t="shared" si="81"/>
        <v>5.1999999999999998E-2</v>
      </c>
      <c r="U54" s="174">
        <f>52000/1000000</f>
        <v>5.1999999999999998E-2</v>
      </c>
      <c r="V54" s="174">
        <v>0</v>
      </c>
      <c r="W54" s="174">
        <v>0</v>
      </c>
      <c r="X54" s="174">
        <v>0</v>
      </c>
      <c r="Y54" s="173">
        <f>SUM(Z54:AC54)</f>
        <v>0</v>
      </c>
      <c r="Z54" s="174">
        <v>0</v>
      </c>
      <c r="AA54" s="174">
        <v>0</v>
      </c>
      <c r="AB54" s="174">
        <v>0</v>
      </c>
      <c r="AC54" s="174">
        <v>0</v>
      </c>
      <c r="AD54" s="178">
        <v>0</v>
      </c>
      <c r="AE54" s="173">
        <f t="shared" si="52"/>
        <v>0.87603305084745775</v>
      </c>
      <c r="AF54" s="173">
        <f t="shared" si="21"/>
        <v>5.1999999999999998E-2</v>
      </c>
      <c r="AG54" s="173">
        <f t="shared" si="9"/>
        <v>9.2041525423728815E-2</v>
      </c>
      <c r="AH54" s="173">
        <f t="shared" si="10"/>
        <v>0.73199152542372892</v>
      </c>
      <c r="AI54" s="173">
        <f t="shared" si="11"/>
        <v>0</v>
      </c>
      <c r="AJ54" s="173">
        <f t="shared" si="32"/>
        <v>0</v>
      </c>
      <c r="AK54" s="174">
        <v>0</v>
      </c>
      <c r="AL54" s="174">
        <v>0</v>
      </c>
      <c r="AM54" s="174">
        <v>0</v>
      </c>
      <c r="AN54" s="174">
        <v>0</v>
      </c>
      <c r="AO54" s="173">
        <f t="shared" si="43"/>
        <v>0</v>
      </c>
      <c r="AP54" s="174">
        <v>0</v>
      </c>
      <c r="AQ54" s="174">
        <v>0</v>
      </c>
      <c r="AR54" s="174">
        <v>0</v>
      </c>
      <c r="AS54" s="174">
        <v>0</v>
      </c>
      <c r="AT54" s="109">
        <f t="shared" ref="AT54" si="177">SUM(AU54:AX54)</f>
        <v>5.1999999999999998E-2</v>
      </c>
      <c r="AU54" s="174">
        <f>52000/1000000</f>
        <v>5.1999999999999998E-2</v>
      </c>
      <c r="AV54" s="174">
        <v>0</v>
      </c>
      <c r="AW54" s="174">
        <v>0</v>
      </c>
      <c r="AX54" s="174">
        <v>0</v>
      </c>
      <c r="AY54" s="113">
        <f t="shared" si="159"/>
        <v>0.8240330508474577</v>
      </c>
      <c r="AZ54" s="174">
        <v>0</v>
      </c>
      <c r="BA54" s="174">
        <f>108609/1000000/1.18</f>
        <v>9.2041525423728815E-2</v>
      </c>
      <c r="BB54" s="174">
        <f>863750/1000000/1.18</f>
        <v>0.73199152542372892</v>
      </c>
      <c r="BC54" s="174">
        <v>0</v>
      </c>
    </row>
    <row r="55" spans="1:55" s="105" customFormat="1" ht="63">
      <c r="A55" s="237" t="s">
        <v>394</v>
      </c>
      <c r="B55" s="200" t="s">
        <v>894</v>
      </c>
      <c r="C55" s="202" t="s">
        <v>876</v>
      </c>
      <c r="D55" s="177">
        <v>0</v>
      </c>
      <c r="E55" s="173">
        <f t="shared" si="20"/>
        <v>0</v>
      </c>
      <c r="F55" s="173">
        <f t="shared" si="4"/>
        <v>0</v>
      </c>
      <c r="G55" s="173">
        <f t="shared" si="5"/>
        <v>0</v>
      </c>
      <c r="H55" s="173">
        <f t="shared" si="6"/>
        <v>0</v>
      </c>
      <c r="I55" s="173">
        <f t="shared" si="7"/>
        <v>0</v>
      </c>
      <c r="J55" s="173">
        <f t="shared" si="16"/>
        <v>0</v>
      </c>
      <c r="K55" s="174">
        <v>0</v>
      </c>
      <c r="L55" s="174">
        <v>0</v>
      </c>
      <c r="M55" s="174">
        <v>0</v>
      </c>
      <c r="N55" s="174">
        <v>0</v>
      </c>
      <c r="O55" s="173">
        <f t="shared" si="8"/>
        <v>0</v>
      </c>
      <c r="P55" s="174">
        <v>0</v>
      </c>
      <c r="Q55" s="174">
        <v>0</v>
      </c>
      <c r="R55" s="174">
        <v>0</v>
      </c>
      <c r="S55" s="174">
        <v>0</v>
      </c>
      <c r="T55" s="173">
        <f t="shared" si="17"/>
        <v>0</v>
      </c>
      <c r="U55" s="174">
        <v>0</v>
      </c>
      <c r="V55" s="174">
        <v>0</v>
      </c>
      <c r="W55" s="174">
        <v>0</v>
      </c>
      <c r="X55" s="174">
        <v>0</v>
      </c>
      <c r="Y55" s="173">
        <f t="shared" si="161"/>
        <v>0</v>
      </c>
      <c r="Z55" s="174">
        <v>0</v>
      </c>
      <c r="AA55" s="174">
        <v>0</v>
      </c>
      <c r="AB55" s="174">
        <v>0</v>
      </c>
      <c r="AC55" s="174">
        <v>0</v>
      </c>
      <c r="AD55" s="178" t="s">
        <v>1009</v>
      </c>
      <c r="AE55" s="173">
        <f t="shared" si="31"/>
        <v>0</v>
      </c>
      <c r="AF55" s="173">
        <f t="shared" si="21"/>
        <v>0</v>
      </c>
      <c r="AG55" s="173">
        <f t="shared" si="9"/>
        <v>0</v>
      </c>
      <c r="AH55" s="173">
        <f t="shared" si="10"/>
        <v>0</v>
      </c>
      <c r="AI55" s="173">
        <f t="shared" si="11"/>
        <v>0</v>
      </c>
      <c r="AJ55" s="173">
        <f t="shared" si="32"/>
        <v>0</v>
      </c>
      <c r="AK55" s="174">
        <v>0</v>
      </c>
      <c r="AL55" s="174">
        <v>0</v>
      </c>
      <c r="AM55" s="174">
        <v>0</v>
      </c>
      <c r="AN55" s="174">
        <v>0</v>
      </c>
      <c r="AO55" s="173">
        <f t="shared" si="33"/>
        <v>0</v>
      </c>
      <c r="AP55" s="174">
        <v>0</v>
      </c>
      <c r="AQ55" s="174">
        <v>0</v>
      </c>
      <c r="AR55" s="174">
        <v>0</v>
      </c>
      <c r="AS55" s="174">
        <v>0</v>
      </c>
      <c r="AT55" s="109">
        <f t="shared" si="34"/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f t="shared" ref="AY55:AY96" si="178">SUM(AZ55:BC55)</f>
        <v>0</v>
      </c>
      <c r="AZ55" s="113">
        <v>0</v>
      </c>
      <c r="BA55" s="113">
        <v>0</v>
      </c>
      <c r="BB55" s="113">
        <v>0</v>
      </c>
      <c r="BC55" s="113">
        <v>0</v>
      </c>
    </row>
    <row r="56" spans="1:55" s="105" customFormat="1" ht="47.25">
      <c r="A56" s="239" t="s">
        <v>744</v>
      </c>
      <c r="B56" s="200" t="s">
        <v>895</v>
      </c>
      <c r="C56" s="202" t="s">
        <v>876</v>
      </c>
      <c r="D56" s="177">
        <v>0</v>
      </c>
      <c r="E56" s="173">
        <f t="shared" si="20"/>
        <v>0</v>
      </c>
      <c r="F56" s="173">
        <f t="shared" si="4"/>
        <v>0</v>
      </c>
      <c r="G56" s="173">
        <f t="shared" si="5"/>
        <v>0</v>
      </c>
      <c r="H56" s="173">
        <f t="shared" si="6"/>
        <v>0</v>
      </c>
      <c r="I56" s="173">
        <f t="shared" si="7"/>
        <v>0</v>
      </c>
      <c r="J56" s="173">
        <f t="shared" si="16"/>
        <v>0</v>
      </c>
      <c r="K56" s="174">
        <f>K57+K58</f>
        <v>0</v>
      </c>
      <c r="L56" s="174">
        <f>L57+L58</f>
        <v>0</v>
      </c>
      <c r="M56" s="174">
        <f>M57+M58</f>
        <v>0</v>
      </c>
      <c r="N56" s="174">
        <f>N57+N58</f>
        <v>0</v>
      </c>
      <c r="O56" s="173">
        <f t="shared" si="8"/>
        <v>0</v>
      </c>
      <c r="P56" s="174">
        <f>P57+P58</f>
        <v>0</v>
      </c>
      <c r="Q56" s="174">
        <f>Q57+Q58</f>
        <v>0</v>
      </c>
      <c r="R56" s="174">
        <f>R57+R58</f>
        <v>0</v>
      </c>
      <c r="S56" s="174">
        <f>S57+S58</f>
        <v>0</v>
      </c>
      <c r="T56" s="173">
        <f t="shared" si="17"/>
        <v>0</v>
      </c>
      <c r="U56" s="174">
        <f>U57+U58</f>
        <v>0</v>
      </c>
      <c r="V56" s="174">
        <f>V57+V58</f>
        <v>0</v>
      </c>
      <c r="W56" s="174">
        <f>W57+W58</f>
        <v>0</v>
      </c>
      <c r="X56" s="174">
        <f>X57+X58</f>
        <v>0</v>
      </c>
      <c r="Y56" s="173">
        <f t="shared" si="18"/>
        <v>0</v>
      </c>
      <c r="Z56" s="174">
        <f>Z57+Z58</f>
        <v>0</v>
      </c>
      <c r="AA56" s="174">
        <f>AA57+AA58</f>
        <v>0</v>
      </c>
      <c r="AB56" s="174">
        <f>AB57+AB58</f>
        <v>0</v>
      </c>
      <c r="AC56" s="174">
        <f>AC57+AC58</f>
        <v>0</v>
      </c>
      <c r="AD56" s="178" t="s">
        <v>1009</v>
      </c>
      <c r="AE56" s="173">
        <f t="shared" si="31"/>
        <v>0</v>
      </c>
      <c r="AF56" s="173">
        <f t="shared" si="21"/>
        <v>0</v>
      </c>
      <c r="AG56" s="173">
        <f t="shared" si="9"/>
        <v>0</v>
      </c>
      <c r="AH56" s="173">
        <f t="shared" si="10"/>
        <v>0</v>
      </c>
      <c r="AI56" s="173">
        <f t="shared" si="11"/>
        <v>0</v>
      </c>
      <c r="AJ56" s="173">
        <f t="shared" si="32"/>
        <v>0</v>
      </c>
      <c r="AK56" s="174">
        <f>AK57+AK58</f>
        <v>0</v>
      </c>
      <c r="AL56" s="174">
        <f>AL57+AL58</f>
        <v>0</v>
      </c>
      <c r="AM56" s="174">
        <f>AM57+AM58</f>
        <v>0</v>
      </c>
      <c r="AN56" s="174">
        <f>AN57+AN58</f>
        <v>0</v>
      </c>
      <c r="AO56" s="173">
        <f t="shared" si="33"/>
        <v>0</v>
      </c>
      <c r="AP56" s="174">
        <f>AP57+AP58</f>
        <v>0</v>
      </c>
      <c r="AQ56" s="174">
        <f>AQ57+AQ58</f>
        <v>0</v>
      </c>
      <c r="AR56" s="174">
        <f>AR57+AR58</f>
        <v>0</v>
      </c>
      <c r="AS56" s="174">
        <f>AS57+AS58</f>
        <v>0</v>
      </c>
      <c r="AT56" s="109">
        <f t="shared" si="34"/>
        <v>0</v>
      </c>
      <c r="AU56" s="113">
        <f>AU57+AU58</f>
        <v>0</v>
      </c>
      <c r="AV56" s="113">
        <f>AV57+AV58</f>
        <v>0</v>
      </c>
      <c r="AW56" s="113">
        <f>AW57+AW58</f>
        <v>0</v>
      </c>
      <c r="AX56" s="113">
        <f>AX57+AX58</f>
        <v>0</v>
      </c>
      <c r="AY56" s="113">
        <f t="shared" si="178"/>
        <v>0</v>
      </c>
      <c r="AZ56" s="113">
        <f>AZ57+AZ58</f>
        <v>0</v>
      </c>
      <c r="BA56" s="113">
        <f>BA57+BA58</f>
        <v>0</v>
      </c>
      <c r="BB56" s="113">
        <f>BB57+BB58</f>
        <v>0</v>
      </c>
      <c r="BC56" s="113">
        <f>BC57+BC58</f>
        <v>0</v>
      </c>
    </row>
    <row r="57" spans="1:55" s="105" customFormat="1" ht="78.75">
      <c r="A57" s="237" t="s">
        <v>415</v>
      </c>
      <c r="B57" s="200" t="s">
        <v>896</v>
      </c>
      <c r="C57" s="202" t="s">
        <v>876</v>
      </c>
      <c r="D57" s="177">
        <v>0</v>
      </c>
      <c r="E57" s="173">
        <f t="shared" si="20"/>
        <v>0</v>
      </c>
      <c r="F57" s="173">
        <f t="shared" si="4"/>
        <v>0</v>
      </c>
      <c r="G57" s="173">
        <f t="shared" si="5"/>
        <v>0</v>
      </c>
      <c r="H57" s="173">
        <f t="shared" si="6"/>
        <v>0</v>
      </c>
      <c r="I57" s="173">
        <f t="shared" si="7"/>
        <v>0</v>
      </c>
      <c r="J57" s="173">
        <f t="shared" si="16"/>
        <v>0</v>
      </c>
      <c r="K57" s="174">
        <v>0</v>
      </c>
      <c r="L57" s="174">
        <v>0</v>
      </c>
      <c r="M57" s="174">
        <v>0</v>
      </c>
      <c r="N57" s="174">
        <v>0</v>
      </c>
      <c r="O57" s="173">
        <f t="shared" si="8"/>
        <v>0</v>
      </c>
      <c r="P57" s="174">
        <v>0</v>
      </c>
      <c r="Q57" s="174">
        <v>0</v>
      </c>
      <c r="R57" s="174">
        <v>0</v>
      </c>
      <c r="S57" s="174">
        <v>0</v>
      </c>
      <c r="T57" s="173">
        <f t="shared" si="17"/>
        <v>0</v>
      </c>
      <c r="U57" s="174">
        <v>0</v>
      </c>
      <c r="V57" s="174">
        <v>0</v>
      </c>
      <c r="W57" s="174">
        <v>0</v>
      </c>
      <c r="X57" s="174">
        <v>0</v>
      </c>
      <c r="Y57" s="173">
        <f t="shared" si="18"/>
        <v>0</v>
      </c>
      <c r="Z57" s="174">
        <v>0</v>
      </c>
      <c r="AA57" s="174">
        <v>0</v>
      </c>
      <c r="AB57" s="174">
        <v>0</v>
      </c>
      <c r="AC57" s="174">
        <v>0</v>
      </c>
      <c r="AD57" s="178" t="s">
        <v>1009</v>
      </c>
      <c r="AE57" s="173">
        <f t="shared" si="31"/>
        <v>0</v>
      </c>
      <c r="AF57" s="173">
        <f t="shared" si="21"/>
        <v>0</v>
      </c>
      <c r="AG57" s="173">
        <f t="shared" si="9"/>
        <v>0</v>
      </c>
      <c r="AH57" s="173">
        <f t="shared" si="10"/>
        <v>0</v>
      </c>
      <c r="AI57" s="173">
        <f t="shared" si="11"/>
        <v>0</v>
      </c>
      <c r="AJ57" s="173">
        <f t="shared" si="32"/>
        <v>0</v>
      </c>
      <c r="AK57" s="174">
        <v>0</v>
      </c>
      <c r="AL57" s="174">
        <v>0</v>
      </c>
      <c r="AM57" s="174">
        <v>0</v>
      </c>
      <c r="AN57" s="174">
        <v>0</v>
      </c>
      <c r="AO57" s="173">
        <f t="shared" si="33"/>
        <v>0</v>
      </c>
      <c r="AP57" s="174">
        <v>0</v>
      </c>
      <c r="AQ57" s="174">
        <v>0</v>
      </c>
      <c r="AR57" s="174">
        <v>0</v>
      </c>
      <c r="AS57" s="174">
        <v>0</v>
      </c>
      <c r="AT57" s="109">
        <f t="shared" si="34"/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f t="shared" si="178"/>
        <v>0</v>
      </c>
      <c r="AZ57" s="113">
        <v>0</v>
      </c>
      <c r="BA57" s="113">
        <v>0</v>
      </c>
      <c r="BB57" s="113">
        <v>0</v>
      </c>
      <c r="BC57" s="113">
        <v>0</v>
      </c>
    </row>
    <row r="58" spans="1:55" s="105" customFormat="1" ht="47.25">
      <c r="A58" s="237" t="s">
        <v>416</v>
      </c>
      <c r="B58" s="200" t="s">
        <v>897</v>
      </c>
      <c r="C58" s="202" t="s">
        <v>876</v>
      </c>
      <c r="D58" s="177">
        <v>0</v>
      </c>
      <c r="E58" s="173">
        <f t="shared" si="20"/>
        <v>0</v>
      </c>
      <c r="F58" s="173">
        <f t="shared" si="4"/>
        <v>0</v>
      </c>
      <c r="G58" s="173">
        <f t="shared" si="5"/>
        <v>0</v>
      </c>
      <c r="H58" s="173">
        <f t="shared" si="6"/>
        <v>0</v>
      </c>
      <c r="I58" s="173">
        <f t="shared" si="7"/>
        <v>0</v>
      </c>
      <c r="J58" s="173">
        <f t="shared" si="16"/>
        <v>0</v>
      </c>
      <c r="K58" s="174">
        <v>0</v>
      </c>
      <c r="L58" s="174">
        <v>0</v>
      </c>
      <c r="M58" s="174">
        <v>0</v>
      </c>
      <c r="N58" s="174">
        <v>0</v>
      </c>
      <c r="O58" s="173">
        <f t="shared" si="8"/>
        <v>0</v>
      </c>
      <c r="P58" s="174">
        <v>0</v>
      </c>
      <c r="Q58" s="174">
        <v>0</v>
      </c>
      <c r="R58" s="174">
        <v>0</v>
      </c>
      <c r="S58" s="174">
        <v>0</v>
      </c>
      <c r="T58" s="173">
        <f t="shared" si="17"/>
        <v>0</v>
      </c>
      <c r="U58" s="174">
        <v>0</v>
      </c>
      <c r="V58" s="174">
        <v>0</v>
      </c>
      <c r="W58" s="174">
        <v>0</v>
      </c>
      <c r="X58" s="174">
        <v>0</v>
      </c>
      <c r="Y58" s="173">
        <f t="shared" si="18"/>
        <v>0</v>
      </c>
      <c r="Z58" s="174">
        <v>0</v>
      </c>
      <c r="AA58" s="174">
        <v>0</v>
      </c>
      <c r="AB58" s="174">
        <v>0</v>
      </c>
      <c r="AC58" s="174">
        <v>0</v>
      </c>
      <c r="AD58" s="178" t="s">
        <v>1009</v>
      </c>
      <c r="AE58" s="173">
        <f t="shared" si="31"/>
        <v>0</v>
      </c>
      <c r="AF58" s="173">
        <f t="shared" si="21"/>
        <v>0</v>
      </c>
      <c r="AG58" s="173">
        <f t="shared" si="9"/>
        <v>0</v>
      </c>
      <c r="AH58" s="173">
        <f t="shared" si="10"/>
        <v>0</v>
      </c>
      <c r="AI58" s="173">
        <f t="shared" si="11"/>
        <v>0</v>
      </c>
      <c r="AJ58" s="173">
        <f t="shared" si="32"/>
        <v>0</v>
      </c>
      <c r="AK58" s="174">
        <v>0</v>
      </c>
      <c r="AL58" s="174">
        <v>0</v>
      </c>
      <c r="AM58" s="174">
        <v>0</v>
      </c>
      <c r="AN58" s="174">
        <v>0</v>
      </c>
      <c r="AO58" s="173">
        <f t="shared" si="33"/>
        <v>0</v>
      </c>
      <c r="AP58" s="174">
        <v>0</v>
      </c>
      <c r="AQ58" s="174">
        <v>0</v>
      </c>
      <c r="AR58" s="174">
        <v>0</v>
      </c>
      <c r="AS58" s="174">
        <v>0</v>
      </c>
      <c r="AT58" s="109">
        <f t="shared" si="34"/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f t="shared" si="178"/>
        <v>0</v>
      </c>
      <c r="AZ58" s="113">
        <v>0</v>
      </c>
      <c r="BA58" s="113">
        <v>0</v>
      </c>
      <c r="BB58" s="113">
        <v>0</v>
      </c>
      <c r="BC58" s="113">
        <v>0</v>
      </c>
    </row>
    <row r="59" spans="1:55" s="105" customFormat="1" ht="63">
      <c r="A59" s="239" t="s">
        <v>745</v>
      </c>
      <c r="B59" s="200" t="s">
        <v>898</v>
      </c>
      <c r="C59" s="202" t="s">
        <v>876</v>
      </c>
      <c r="D59" s="177">
        <v>0</v>
      </c>
      <c r="E59" s="173">
        <f t="shared" si="20"/>
        <v>0</v>
      </c>
      <c r="F59" s="173">
        <f t="shared" si="4"/>
        <v>0</v>
      </c>
      <c r="G59" s="173">
        <f t="shared" si="5"/>
        <v>0</v>
      </c>
      <c r="H59" s="173">
        <f t="shared" si="6"/>
        <v>0</v>
      </c>
      <c r="I59" s="173">
        <f t="shared" si="7"/>
        <v>0</v>
      </c>
      <c r="J59" s="173">
        <f t="shared" si="16"/>
        <v>0</v>
      </c>
      <c r="K59" s="174">
        <f>K60+K61+K62+K63+K64+K65+K66+K67</f>
        <v>0</v>
      </c>
      <c r="L59" s="174">
        <f>L60+L61+L62+L63+L64+L65+L66+L67</f>
        <v>0</v>
      </c>
      <c r="M59" s="174">
        <f>M60+M61+M62+M63+M64+M65+M66+M67</f>
        <v>0</v>
      </c>
      <c r="N59" s="174">
        <f>N60+N61+N62+N63+N64+N65+N66+N67</f>
        <v>0</v>
      </c>
      <c r="O59" s="173">
        <f t="shared" si="8"/>
        <v>0</v>
      </c>
      <c r="P59" s="174">
        <f>P60+P61+P62+P63+P64+P65+P66+P67</f>
        <v>0</v>
      </c>
      <c r="Q59" s="174">
        <f>Q60+Q61+Q62+Q63+Q64+Q65+Q66+Q67</f>
        <v>0</v>
      </c>
      <c r="R59" s="174">
        <f>R60+R61+R62+R63+R64+R65+R66+R67</f>
        <v>0</v>
      </c>
      <c r="S59" s="174">
        <f>S60+S61+S62+S63+S64+S65+S66+S67</f>
        <v>0</v>
      </c>
      <c r="T59" s="173">
        <f t="shared" si="17"/>
        <v>0</v>
      </c>
      <c r="U59" s="174">
        <f>U60+U61+U62+U63+U64+U65+U66+U67</f>
        <v>0</v>
      </c>
      <c r="V59" s="174">
        <f>V60+V61+V62+V63+V64+V65+V66+V67</f>
        <v>0</v>
      </c>
      <c r="W59" s="174">
        <f>W60+W61+W62+W63+W64+W65+W66+W67</f>
        <v>0</v>
      </c>
      <c r="X59" s="174">
        <f>X60+X61+X62+X63+X64+X65+X66+X67</f>
        <v>0</v>
      </c>
      <c r="Y59" s="173">
        <f t="shared" si="18"/>
        <v>0</v>
      </c>
      <c r="Z59" s="174">
        <f>Z60+Z61+Z62+Z63+Z64+Z65+Z66+Z67</f>
        <v>0</v>
      </c>
      <c r="AA59" s="174">
        <f>AA60+AA61+AA62+AA63+AA64+AA65+AA66+AA67</f>
        <v>0</v>
      </c>
      <c r="AB59" s="174">
        <f>AB60+AB61+AB62+AB63+AB64+AB65+AB66+AB67</f>
        <v>0</v>
      </c>
      <c r="AC59" s="174">
        <f>AC60+AC61+AC62+AC63+AC64+AC65+AC66+AC67</f>
        <v>0</v>
      </c>
      <c r="AD59" s="178" t="s">
        <v>1009</v>
      </c>
      <c r="AE59" s="173">
        <f t="shared" si="31"/>
        <v>0</v>
      </c>
      <c r="AF59" s="173">
        <f t="shared" si="21"/>
        <v>0</v>
      </c>
      <c r="AG59" s="173">
        <f t="shared" si="9"/>
        <v>0</v>
      </c>
      <c r="AH59" s="173">
        <f t="shared" si="10"/>
        <v>0</v>
      </c>
      <c r="AI59" s="173">
        <f t="shared" si="11"/>
        <v>0</v>
      </c>
      <c r="AJ59" s="173">
        <f t="shared" si="32"/>
        <v>0</v>
      </c>
      <c r="AK59" s="174">
        <f>AK60+AK61+AK62+AK63+AK64+AK65+AK66+AK67</f>
        <v>0</v>
      </c>
      <c r="AL59" s="174">
        <f>AL60+AL61+AL62+AL63+AL64+AL65+AL66+AL67</f>
        <v>0</v>
      </c>
      <c r="AM59" s="174">
        <f>AM60+AM61+AM62+AM63+AM64+AM65+AM66+AM67</f>
        <v>0</v>
      </c>
      <c r="AN59" s="174">
        <f>AN60+AN61+AN62+AN63+AN64+AN65+AN66+AN67</f>
        <v>0</v>
      </c>
      <c r="AO59" s="173">
        <f t="shared" si="33"/>
        <v>0</v>
      </c>
      <c r="AP59" s="174">
        <f>AP60+AP61+AP62+AP63+AP64+AP65+AP66+AP67</f>
        <v>0</v>
      </c>
      <c r="AQ59" s="174">
        <f>AQ60+AQ61+AQ62+AQ63+AQ64+AQ65+AQ66+AQ67</f>
        <v>0</v>
      </c>
      <c r="AR59" s="174">
        <f>AR60+AR61+AR62+AR63+AR64+AR65+AR66+AR67</f>
        <v>0</v>
      </c>
      <c r="AS59" s="174">
        <f>AS60+AS61+AS62+AS63+AS64+AS65+AS66+AS67</f>
        <v>0</v>
      </c>
      <c r="AT59" s="109">
        <f t="shared" si="34"/>
        <v>0</v>
      </c>
      <c r="AU59" s="113">
        <f>AU60+AU61+AU62+AU63+AU64+AU65+AU66+AU67</f>
        <v>0</v>
      </c>
      <c r="AV59" s="113">
        <f>AV60+AV61+AV62+AV63+AV64+AV65+AV66+AV67</f>
        <v>0</v>
      </c>
      <c r="AW59" s="113">
        <f>AW60+AW61+AW62+AW63+AW64+AW65+AW66+AW67</f>
        <v>0</v>
      </c>
      <c r="AX59" s="113">
        <f>AX60+AX61+AX62+AX63+AX64+AX65+AX66+AX67</f>
        <v>0</v>
      </c>
      <c r="AY59" s="113">
        <f t="shared" si="178"/>
        <v>0</v>
      </c>
      <c r="AZ59" s="113">
        <f>AZ60+AZ61+AZ62+AZ63+AZ64+AZ65+AZ66+AZ67</f>
        <v>0</v>
      </c>
      <c r="BA59" s="113">
        <f>BA60+BA61+BA62+BA63+BA64+BA65+BA66+BA67</f>
        <v>0</v>
      </c>
      <c r="BB59" s="113">
        <f>BB60+BB61+BB62+BB63+BB64+BB65+BB66+BB67</f>
        <v>0</v>
      </c>
      <c r="BC59" s="113">
        <f>BC60+BC61+BC62+BC63+BC64+BC65+BC66+BC67</f>
        <v>0</v>
      </c>
    </row>
    <row r="60" spans="1:55" s="105" customFormat="1" ht="47.25">
      <c r="A60" s="237" t="s">
        <v>899</v>
      </c>
      <c r="B60" s="200" t="s">
        <v>900</v>
      </c>
      <c r="C60" s="202" t="s">
        <v>876</v>
      </c>
      <c r="D60" s="177">
        <v>0</v>
      </c>
      <c r="E60" s="173">
        <f t="shared" si="20"/>
        <v>0</v>
      </c>
      <c r="F60" s="173">
        <f t="shared" si="4"/>
        <v>0</v>
      </c>
      <c r="G60" s="173">
        <f t="shared" si="5"/>
        <v>0</v>
      </c>
      <c r="H60" s="173">
        <f t="shared" si="6"/>
        <v>0</v>
      </c>
      <c r="I60" s="173">
        <f t="shared" si="7"/>
        <v>0</v>
      </c>
      <c r="J60" s="173">
        <f t="shared" si="16"/>
        <v>0</v>
      </c>
      <c r="K60" s="174">
        <v>0</v>
      </c>
      <c r="L60" s="174">
        <v>0</v>
      </c>
      <c r="M60" s="174">
        <v>0</v>
      </c>
      <c r="N60" s="174">
        <v>0</v>
      </c>
      <c r="O60" s="173">
        <f t="shared" si="8"/>
        <v>0</v>
      </c>
      <c r="P60" s="174">
        <v>0</v>
      </c>
      <c r="Q60" s="174">
        <v>0</v>
      </c>
      <c r="R60" s="174">
        <v>0</v>
      </c>
      <c r="S60" s="174">
        <v>0</v>
      </c>
      <c r="T60" s="173">
        <f t="shared" si="17"/>
        <v>0</v>
      </c>
      <c r="U60" s="174">
        <v>0</v>
      </c>
      <c r="V60" s="174">
        <v>0</v>
      </c>
      <c r="W60" s="174">
        <v>0</v>
      </c>
      <c r="X60" s="174">
        <v>0</v>
      </c>
      <c r="Y60" s="173">
        <f t="shared" si="18"/>
        <v>0</v>
      </c>
      <c r="Z60" s="174">
        <v>0</v>
      </c>
      <c r="AA60" s="174">
        <v>0</v>
      </c>
      <c r="AB60" s="174">
        <v>0</v>
      </c>
      <c r="AC60" s="174">
        <v>0</v>
      </c>
      <c r="AD60" s="178" t="s">
        <v>1009</v>
      </c>
      <c r="AE60" s="173">
        <f t="shared" si="31"/>
        <v>0</v>
      </c>
      <c r="AF60" s="173">
        <f t="shared" si="21"/>
        <v>0</v>
      </c>
      <c r="AG60" s="173">
        <f t="shared" si="9"/>
        <v>0</v>
      </c>
      <c r="AH60" s="173">
        <f t="shared" si="10"/>
        <v>0</v>
      </c>
      <c r="AI60" s="173">
        <f t="shared" si="11"/>
        <v>0</v>
      </c>
      <c r="AJ60" s="173">
        <f t="shared" si="32"/>
        <v>0</v>
      </c>
      <c r="AK60" s="174">
        <v>0</v>
      </c>
      <c r="AL60" s="174">
        <v>0</v>
      </c>
      <c r="AM60" s="174">
        <v>0</v>
      </c>
      <c r="AN60" s="174">
        <v>0</v>
      </c>
      <c r="AO60" s="173">
        <f t="shared" si="33"/>
        <v>0</v>
      </c>
      <c r="AP60" s="174">
        <v>0</v>
      </c>
      <c r="AQ60" s="174">
        <v>0</v>
      </c>
      <c r="AR60" s="174">
        <v>0</v>
      </c>
      <c r="AS60" s="174">
        <v>0</v>
      </c>
      <c r="AT60" s="109">
        <f t="shared" si="34"/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f t="shared" si="178"/>
        <v>0</v>
      </c>
      <c r="AZ60" s="113">
        <v>0</v>
      </c>
      <c r="BA60" s="113">
        <v>0</v>
      </c>
      <c r="BB60" s="113">
        <v>0</v>
      </c>
      <c r="BC60" s="113">
        <v>0</v>
      </c>
    </row>
    <row r="61" spans="1:55" s="105" customFormat="1" ht="126">
      <c r="A61" s="237" t="s">
        <v>899</v>
      </c>
      <c r="B61" s="200" t="s">
        <v>901</v>
      </c>
      <c r="C61" s="202" t="s">
        <v>876</v>
      </c>
      <c r="D61" s="177">
        <v>0</v>
      </c>
      <c r="E61" s="173">
        <f t="shared" si="20"/>
        <v>0</v>
      </c>
      <c r="F61" s="173">
        <f t="shared" si="4"/>
        <v>0</v>
      </c>
      <c r="G61" s="173">
        <f t="shared" si="5"/>
        <v>0</v>
      </c>
      <c r="H61" s="173">
        <f t="shared" si="6"/>
        <v>0</v>
      </c>
      <c r="I61" s="173">
        <f t="shared" si="7"/>
        <v>0</v>
      </c>
      <c r="J61" s="173">
        <f t="shared" si="16"/>
        <v>0</v>
      </c>
      <c r="K61" s="174">
        <v>0</v>
      </c>
      <c r="L61" s="174">
        <v>0</v>
      </c>
      <c r="M61" s="174">
        <v>0</v>
      </c>
      <c r="N61" s="174">
        <v>0</v>
      </c>
      <c r="O61" s="173">
        <f t="shared" si="8"/>
        <v>0</v>
      </c>
      <c r="P61" s="174">
        <v>0</v>
      </c>
      <c r="Q61" s="174">
        <v>0</v>
      </c>
      <c r="R61" s="174">
        <v>0</v>
      </c>
      <c r="S61" s="174">
        <v>0</v>
      </c>
      <c r="T61" s="173">
        <f t="shared" si="17"/>
        <v>0</v>
      </c>
      <c r="U61" s="174">
        <v>0</v>
      </c>
      <c r="V61" s="174">
        <v>0</v>
      </c>
      <c r="W61" s="174">
        <v>0</v>
      </c>
      <c r="X61" s="174">
        <v>0</v>
      </c>
      <c r="Y61" s="173">
        <f t="shared" si="18"/>
        <v>0</v>
      </c>
      <c r="Z61" s="174">
        <v>0</v>
      </c>
      <c r="AA61" s="174">
        <v>0</v>
      </c>
      <c r="AB61" s="174">
        <v>0</v>
      </c>
      <c r="AC61" s="174">
        <v>0</v>
      </c>
      <c r="AD61" s="178" t="s">
        <v>1009</v>
      </c>
      <c r="AE61" s="173">
        <f t="shared" si="31"/>
        <v>0</v>
      </c>
      <c r="AF61" s="173">
        <f t="shared" si="21"/>
        <v>0</v>
      </c>
      <c r="AG61" s="173">
        <f t="shared" si="9"/>
        <v>0</v>
      </c>
      <c r="AH61" s="173">
        <f t="shared" si="10"/>
        <v>0</v>
      </c>
      <c r="AI61" s="173">
        <f t="shared" si="11"/>
        <v>0</v>
      </c>
      <c r="AJ61" s="173">
        <f t="shared" si="32"/>
        <v>0</v>
      </c>
      <c r="AK61" s="174">
        <v>0</v>
      </c>
      <c r="AL61" s="174">
        <v>0</v>
      </c>
      <c r="AM61" s="174">
        <v>0</v>
      </c>
      <c r="AN61" s="174">
        <v>0</v>
      </c>
      <c r="AO61" s="173">
        <f t="shared" si="33"/>
        <v>0</v>
      </c>
      <c r="AP61" s="174">
        <v>0</v>
      </c>
      <c r="AQ61" s="174">
        <v>0</v>
      </c>
      <c r="AR61" s="174">
        <v>0</v>
      </c>
      <c r="AS61" s="174">
        <v>0</v>
      </c>
      <c r="AT61" s="109">
        <f t="shared" si="34"/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f t="shared" si="178"/>
        <v>0</v>
      </c>
      <c r="AZ61" s="113">
        <v>0</v>
      </c>
      <c r="BA61" s="113">
        <v>0</v>
      </c>
      <c r="BB61" s="113">
        <v>0</v>
      </c>
      <c r="BC61" s="113">
        <v>0</v>
      </c>
    </row>
    <row r="62" spans="1:55" s="105" customFormat="1" ht="110.25">
      <c r="A62" s="237" t="s">
        <v>899</v>
      </c>
      <c r="B62" s="200" t="s">
        <v>902</v>
      </c>
      <c r="C62" s="202" t="s">
        <v>876</v>
      </c>
      <c r="D62" s="177">
        <v>0</v>
      </c>
      <c r="E62" s="173">
        <f t="shared" si="20"/>
        <v>0</v>
      </c>
      <c r="F62" s="173">
        <f t="shared" si="4"/>
        <v>0</v>
      </c>
      <c r="G62" s="173">
        <f t="shared" si="5"/>
        <v>0</v>
      </c>
      <c r="H62" s="173">
        <f t="shared" si="6"/>
        <v>0</v>
      </c>
      <c r="I62" s="173">
        <f t="shared" si="7"/>
        <v>0</v>
      </c>
      <c r="J62" s="173">
        <f t="shared" si="16"/>
        <v>0</v>
      </c>
      <c r="K62" s="174">
        <v>0</v>
      </c>
      <c r="L62" s="174">
        <v>0</v>
      </c>
      <c r="M62" s="174">
        <v>0</v>
      </c>
      <c r="N62" s="174">
        <v>0</v>
      </c>
      <c r="O62" s="173">
        <f t="shared" si="8"/>
        <v>0</v>
      </c>
      <c r="P62" s="174">
        <v>0</v>
      </c>
      <c r="Q62" s="174">
        <v>0</v>
      </c>
      <c r="R62" s="174">
        <v>0</v>
      </c>
      <c r="S62" s="174">
        <v>0</v>
      </c>
      <c r="T62" s="173">
        <f t="shared" si="17"/>
        <v>0</v>
      </c>
      <c r="U62" s="174">
        <v>0</v>
      </c>
      <c r="V62" s="174">
        <v>0</v>
      </c>
      <c r="W62" s="174">
        <v>0</v>
      </c>
      <c r="X62" s="174">
        <v>0</v>
      </c>
      <c r="Y62" s="173">
        <f t="shared" si="18"/>
        <v>0</v>
      </c>
      <c r="Z62" s="174">
        <v>0</v>
      </c>
      <c r="AA62" s="174">
        <v>0</v>
      </c>
      <c r="AB62" s="174">
        <v>0</v>
      </c>
      <c r="AC62" s="174">
        <v>0</v>
      </c>
      <c r="AD62" s="178" t="s">
        <v>1009</v>
      </c>
      <c r="AE62" s="173">
        <f t="shared" si="31"/>
        <v>0</v>
      </c>
      <c r="AF62" s="173">
        <f t="shared" si="21"/>
        <v>0</v>
      </c>
      <c r="AG62" s="173">
        <f t="shared" si="9"/>
        <v>0</v>
      </c>
      <c r="AH62" s="173">
        <f t="shared" si="10"/>
        <v>0</v>
      </c>
      <c r="AI62" s="173">
        <f t="shared" si="11"/>
        <v>0</v>
      </c>
      <c r="AJ62" s="173">
        <f t="shared" si="32"/>
        <v>0</v>
      </c>
      <c r="AK62" s="174">
        <v>0</v>
      </c>
      <c r="AL62" s="174">
        <v>0</v>
      </c>
      <c r="AM62" s="174">
        <v>0</v>
      </c>
      <c r="AN62" s="174">
        <v>0</v>
      </c>
      <c r="AO62" s="173">
        <f t="shared" si="33"/>
        <v>0</v>
      </c>
      <c r="AP62" s="174">
        <v>0</v>
      </c>
      <c r="AQ62" s="174">
        <v>0</v>
      </c>
      <c r="AR62" s="174">
        <v>0</v>
      </c>
      <c r="AS62" s="174">
        <v>0</v>
      </c>
      <c r="AT62" s="109">
        <f t="shared" si="34"/>
        <v>0</v>
      </c>
      <c r="AU62" s="113">
        <v>0</v>
      </c>
      <c r="AV62" s="113">
        <v>0</v>
      </c>
      <c r="AW62" s="113">
        <v>0</v>
      </c>
      <c r="AX62" s="113">
        <v>0</v>
      </c>
      <c r="AY62" s="114">
        <f>SUM(AZ62:BC62)</f>
        <v>0</v>
      </c>
      <c r="AZ62" s="113">
        <v>0</v>
      </c>
      <c r="BA62" s="113">
        <v>0</v>
      </c>
      <c r="BB62" s="113">
        <v>0</v>
      </c>
      <c r="BC62" s="113">
        <v>0</v>
      </c>
    </row>
    <row r="63" spans="1:55" s="105" customFormat="1" ht="126">
      <c r="A63" s="237" t="s">
        <v>899</v>
      </c>
      <c r="B63" s="200" t="s">
        <v>903</v>
      </c>
      <c r="C63" s="202" t="s">
        <v>876</v>
      </c>
      <c r="D63" s="177">
        <v>0</v>
      </c>
      <c r="E63" s="173">
        <f t="shared" si="20"/>
        <v>0</v>
      </c>
      <c r="F63" s="173">
        <f t="shared" si="4"/>
        <v>0</v>
      </c>
      <c r="G63" s="173">
        <f t="shared" si="5"/>
        <v>0</v>
      </c>
      <c r="H63" s="173">
        <f t="shared" si="6"/>
        <v>0</v>
      </c>
      <c r="I63" s="173">
        <f t="shared" si="7"/>
        <v>0</v>
      </c>
      <c r="J63" s="173">
        <f t="shared" si="16"/>
        <v>0</v>
      </c>
      <c r="K63" s="174">
        <v>0</v>
      </c>
      <c r="L63" s="174">
        <v>0</v>
      </c>
      <c r="M63" s="174">
        <v>0</v>
      </c>
      <c r="N63" s="174">
        <v>0</v>
      </c>
      <c r="O63" s="173">
        <f t="shared" si="8"/>
        <v>0</v>
      </c>
      <c r="P63" s="174">
        <v>0</v>
      </c>
      <c r="Q63" s="174">
        <v>0</v>
      </c>
      <c r="R63" s="174">
        <v>0</v>
      </c>
      <c r="S63" s="174">
        <v>0</v>
      </c>
      <c r="T63" s="173">
        <f t="shared" si="17"/>
        <v>0</v>
      </c>
      <c r="U63" s="174">
        <v>0</v>
      </c>
      <c r="V63" s="174">
        <v>0</v>
      </c>
      <c r="W63" s="174">
        <v>0</v>
      </c>
      <c r="X63" s="174">
        <v>0</v>
      </c>
      <c r="Y63" s="173">
        <f t="shared" si="18"/>
        <v>0</v>
      </c>
      <c r="Z63" s="174">
        <v>0</v>
      </c>
      <c r="AA63" s="174">
        <v>0</v>
      </c>
      <c r="AB63" s="174">
        <v>0</v>
      </c>
      <c r="AC63" s="174">
        <v>0</v>
      </c>
      <c r="AD63" s="178" t="s">
        <v>1009</v>
      </c>
      <c r="AE63" s="173">
        <f t="shared" si="31"/>
        <v>0</v>
      </c>
      <c r="AF63" s="173">
        <f t="shared" si="21"/>
        <v>0</v>
      </c>
      <c r="AG63" s="173">
        <f t="shared" si="9"/>
        <v>0</v>
      </c>
      <c r="AH63" s="173">
        <f t="shared" si="10"/>
        <v>0</v>
      </c>
      <c r="AI63" s="173">
        <f t="shared" si="11"/>
        <v>0</v>
      </c>
      <c r="AJ63" s="173">
        <f t="shared" si="32"/>
        <v>0</v>
      </c>
      <c r="AK63" s="174">
        <v>0</v>
      </c>
      <c r="AL63" s="174">
        <v>0</v>
      </c>
      <c r="AM63" s="174">
        <v>0</v>
      </c>
      <c r="AN63" s="174">
        <v>0</v>
      </c>
      <c r="AO63" s="173">
        <f t="shared" si="33"/>
        <v>0</v>
      </c>
      <c r="AP63" s="174">
        <v>0</v>
      </c>
      <c r="AQ63" s="174">
        <v>0</v>
      </c>
      <c r="AR63" s="174">
        <v>0</v>
      </c>
      <c r="AS63" s="174">
        <v>0</v>
      </c>
      <c r="AT63" s="109">
        <f t="shared" si="34"/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f>SUM(AZ63:BC63)</f>
        <v>0</v>
      </c>
      <c r="AZ63" s="113">
        <v>0</v>
      </c>
      <c r="BA63" s="113">
        <v>0</v>
      </c>
      <c r="BB63" s="113">
        <v>0</v>
      </c>
      <c r="BC63" s="113">
        <v>0</v>
      </c>
    </row>
    <row r="64" spans="1:55" s="105" customFormat="1" ht="47.25">
      <c r="A64" s="237" t="s">
        <v>904</v>
      </c>
      <c r="B64" s="200" t="s">
        <v>900</v>
      </c>
      <c r="C64" s="202" t="s">
        <v>876</v>
      </c>
      <c r="D64" s="177">
        <v>0</v>
      </c>
      <c r="E64" s="173">
        <f t="shared" si="20"/>
        <v>0</v>
      </c>
      <c r="F64" s="173">
        <f t="shared" si="4"/>
        <v>0</v>
      </c>
      <c r="G64" s="173">
        <f t="shared" si="5"/>
        <v>0</v>
      </c>
      <c r="H64" s="173">
        <f t="shared" si="6"/>
        <v>0</v>
      </c>
      <c r="I64" s="173">
        <f t="shared" si="7"/>
        <v>0</v>
      </c>
      <c r="J64" s="173">
        <f t="shared" si="16"/>
        <v>0</v>
      </c>
      <c r="K64" s="174">
        <v>0</v>
      </c>
      <c r="L64" s="174">
        <v>0</v>
      </c>
      <c r="M64" s="174">
        <v>0</v>
      </c>
      <c r="N64" s="174">
        <v>0</v>
      </c>
      <c r="O64" s="173">
        <f t="shared" si="8"/>
        <v>0</v>
      </c>
      <c r="P64" s="174">
        <v>0</v>
      </c>
      <c r="Q64" s="174">
        <v>0</v>
      </c>
      <c r="R64" s="174">
        <v>0</v>
      </c>
      <c r="S64" s="174">
        <v>0</v>
      </c>
      <c r="T64" s="173">
        <f t="shared" si="17"/>
        <v>0</v>
      </c>
      <c r="U64" s="174">
        <v>0</v>
      </c>
      <c r="V64" s="174">
        <v>0</v>
      </c>
      <c r="W64" s="174">
        <v>0</v>
      </c>
      <c r="X64" s="174">
        <v>0</v>
      </c>
      <c r="Y64" s="173">
        <f t="shared" si="18"/>
        <v>0</v>
      </c>
      <c r="Z64" s="174">
        <v>0</v>
      </c>
      <c r="AA64" s="174">
        <v>0</v>
      </c>
      <c r="AB64" s="174">
        <v>0</v>
      </c>
      <c r="AC64" s="174">
        <v>0</v>
      </c>
      <c r="AD64" s="178" t="s">
        <v>1009</v>
      </c>
      <c r="AE64" s="173">
        <f t="shared" si="31"/>
        <v>0</v>
      </c>
      <c r="AF64" s="173">
        <f t="shared" si="21"/>
        <v>0</v>
      </c>
      <c r="AG64" s="173">
        <f t="shared" si="9"/>
        <v>0</v>
      </c>
      <c r="AH64" s="173">
        <f t="shared" si="10"/>
        <v>0</v>
      </c>
      <c r="AI64" s="173">
        <f t="shared" si="11"/>
        <v>0</v>
      </c>
      <c r="AJ64" s="173">
        <f t="shared" si="32"/>
        <v>0</v>
      </c>
      <c r="AK64" s="174">
        <v>0</v>
      </c>
      <c r="AL64" s="174">
        <v>0</v>
      </c>
      <c r="AM64" s="174">
        <v>0</v>
      </c>
      <c r="AN64" s="174">
        <v>0</v>
      </c>
      <c r="AO64" s="173">
        <f t="shared" si="33"/>
        <v>0</v>
      </c>
      <c r="AP64" s="174">
        <v>0</v>
      </c>
      <c r="AQ64" s="174">
        <v>0</v>
      </c>
      <c r="AR64" s="174">
        <v>0</v>
      </c>
      <c r="AS64" s="174">
        <v>0</v>
      </c>
      <c r="AT64" s="109">
        <f t="shared" si="34"/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f>SUM(AZ64:BC64)</f>
        <v>0</v>
      </c>
      <c r="AZ64" s="113">
        <v>0</v>
      </c>
      <c r="BA64" s="113">
        <v>0</v>
      </c>
      <c r="BB64" s="113">
        <v>0</v>
      </c>
      <c r="BC64" s="113">
        <v>0</v>
      </c>
    </row>
    <row r="65" spans="1:55" s="105" customFormat="1" ht="126">
      <c r="A65" s="237" t="s">
        <v>904</v>
      </c>
      <c r="B65" s="200" t="s">
        <v>901</v>
      </c>
      <c r="C65" s="202" t="s">
        <v>876</v>
      </c>
      <c r="D65" s="177">
        <v>0</v>
      </c>
      <c r="E65" s="173">
        <f t="shared" si="20"/>
        <v>0</v>
      </c>
      <c r="F65" s="173">
        <f t="shared" si="4"/>
        <v>0</v>
      </c>
      <c r="G65" s="173">
        <f t="shared" si="5"/>
        <v>0</v>
      </c>
      <c r="H65" s="173">
        <f t="shared" si="6"/>
        <v>0</v>
      </c>
      <c r="I65" s="173">
        <f t="shared" si="7"/>
        <v>0</v>
      </c>
      <c r="J65" s="173">
        <f t="shared" si="16"/>
        <v>0</v>
      </c>
      <c r="K65" s="174">
        <v>0</v>
      </c>
      <c r="L65" s="174">
        <v>0</v>
      </c>
      <c r="M65" s="174">
        <v>0</v>
      </c>
      <c r="N65" s="174">
        <v>0</v>
      </c>
      <c r="O65" s="173">
        <f t="shared" si="8"/>
        <v>0</v>
      </c>
      <c r="P65" s="174">
        <v>0</v>
      </c>
      <c r="Q65" s="174">
        <v>0</v>
      </c>
      <c r="R65" s="174">
        <v>0</v>
      </c>
      <c r="S65" s="174">
        <v>0</v>
      </c>
      <c r="T65" s="173">
        <f t="shared" si="17"/>
        <v>0</v>
      </c>
      <c r="U65" s="174">
        <v>0</v>
      </c>
      <c r="V65" s="174">
        <v>0</v>
      </c>
      <c r="W65" s="174">
        <v>0</v>
      </c>
      <c r="X65" s="174">
        <v>0</v>
      </c>
      <c r="Y65" s="173">
        <f t="shared" si="18"/>
        <v>0</v>
      </c>
      <c r="Z65" s="174">
        <v>0</v>
      </c>
      <c r="AA65" s="174">
        <v>0</v>
      </c>
      <c r="AB65" s="174">
        <v>0</v>
      </c>
      <c r="AC65" s="174">
        <v>0</v>
      </c>
      <c r="AD65" s="178" t="s">
        <v>1009</v>
      </c>
      <c r="AE65" s="173">
        <f t="shared" si="31"/>
        <v>0</v>
      </c>
      <c r="AF65" s="173">
        <f t="shared" si="21"/>
        <v>0</v>
      </c>
      <c r="AG65" s="173">
        <f t="shared" si="9"/>
        <v>0</v>
      </c>
      <c r="AH65" s="173">
        <f t="shared" si="10"/>
        <v>0</v>
      </c>
      <c r="AI65" s="173">
        <f t="shared" si="11"/>
        <v>0</v>
      </c>
      <c r="AJ65" s="173">
        <f t="shared" si="32"/>
        <v>0</v>
      </c>
      <c r="AK65" s="174">
        <v>0</v>
      </c>
      <c r="AL65" s="174">
        <v>0</v>
      </c>
      <c r="AM65" s="174">
        <v>0</v>
      </c>
      <c r="AN65" s="174">
        <v>0</v>
      </c>
      <c r="AO65" s="173">
        <f t="shared" si="33"/>
        <v>0</v>
      </c>
      <c r="AP65" s="174">
        <v>0</v>
      </c>
      <c r="AQ65" s="174">
        <v>0</v>
      </c>
      <c r="AR65" s="174">
        <v>0</v>
      </c>
      <c r="AS65" s="174">
        <v>0</v>
      </c>
      <c r="AT65" s="109">
        <f t="shared" si="34"/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f t="shared" si="178"/>
        <v>0</v>
      </c>
      <c r="AZ65" s="113">
        <v>0</v>
      </c>
      <c r="BA65" s="113">
        <v>0</v>
      </c>
      <c r="BB65" s="113">
        <v>0</v>
      </c>
      <c r="BC65" s="113">
        <v>0</v>
      </c>
    </row>
    <row r="66" spans="1:55" s="105" customFormat="1" ht="110.25">
      <c r="A66" s="237" t="s">
        <v>904</v>
      </c>
      <c r="B66" s="200" t="s">
        <v>902</v>
      </c>
      <c r="C66" s="202" t="s">
        <v>876</v>
      </c>
      <c r="D66" s="177">
        <v>0</v>
      </c>
      <c r="E66" s="173">
        <f t="shared" si="20"/>
        <v>0</v>
      </c>
      <c r="F66" s="173">
        <f t="shared" si="4"/>
        <v>0</v>
      </c>
      <c r="G66" s="173">
        <f t="shared" si="5"/>
        <v>0</v>
      </c>
      <c r="H66" s="173">
        <f t="shared" si="6"/>
        <v>0</v>
      </c>
      <c r="I66" s="173">
        <f t="shared" si="7"/>
        <v>0</v>
      </c>
      <c r="J66" s="173">
        <f t="shared" si="16"/>
        <v>0</v>
      </c>
      <c r="K66" s="174">
        <v>0</v>
      </c>
      <c r="L66" s="174">
        <v>0</v>
      </c>
      <c r="M66" s="174">
        <v>0</v>
      </c>
      <c r="N66" s="174">
        <v>0</v>
      </c>
      <c r="O66" s="173">
        <f t="shared" si="8"/>
        <v>0</v>
      </c>
      <c r="P66" s="174">
        <v>0</v>
      </c>
      <c r="Q66" s="174">
        <v>0</v>
      </c>
      <c r="R66" s="174">
        <v>0</v>
      </c>
      <c r="S66" s="174">
        <v>0</v>
      </c>
      <c r="T66" s="173">
        <f t="shared" si="17"/>
        <v>0</v>
      </c>
      <c r="U66" s="174">
        <v>0</v>
      </c>
      <c r="V66" s="174">
        <v>0</v>
      </c>
      <c r="W66" s="174">
        <v>0</v>
      </c>
      <c r="X66" s="174">
        <v>0</v>
      </c>
      <c r="Y66" s="173">
        <f t="shared" si="18"/>
        <v>0</v>
      </c>
      <c r="Z66" s="174">
        <v>0</v>
      </c>
      <c r="AA66" s="174">
        <v>0</v>
      </c>
      <c r="AB66" s="174">
        <v>0</v>
      </c>
      <c r="AC66" s="174">
        <v>0</v>
      </c>
      <c r="AD66" s="178" t="s">
        <v>1009</v>
      </c>
      <c r="AE66" s="173">
        <f t="shared" si="31"/>
        <v>0</v>
      </c>
      <c r="AF66" s="173">
        <f t="shared" si="21"/>
        <v>0</v>
      </c>
      <c r="AG66" s="173">
        <f t="shared" si="9"/>
        <v>0</v>
      </c>
      <c r="AH66" s="173">
        <f t="shared" si="10"/>
        <v>0</v>
      </c>
      <c r="AI66" s="173">
        <f t="shared" si="11"/>
        <v>0</v>
      </c>
      <c r="AJ66" s="173">
        <f t="shared" si="32"/>
        <v>0</v>
      </c>
      <c r="AK66" s="174">
        <v>0</v>
      </c>
      <c r="AL66" s="174">
        <v>0</v>
      </c>
      <c r="AM66" s="174">
        <v>0</v>
      </c>
      <c r="AN66" s="174">
        <v>0</v>
      </c>
      <c r="AO66" s="173">
        <f t="shared" si="33"/>
        <v>0</v>
      </c>
      <c r="AP66" s="174">
        <v>0</v>
      </c>
      <c r="AQ66" s="174">
        <v>0</v>
      </c>
      <c r="AR66" s="174">
        <v>0</v>
      </c>
      <c r="AS66" s="174">
        <v>0</v>
      </c>
      <c r="AT66" s="109">
        <f t="shared" si="34"/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f t="shared" si="178"/>
        <v>0</v>
      </c>
      <c r="AZ66" s="113">
        <v>0</v>
      </c>
      <c r="BA66" s="113">
        <v>0</v>
      </c>
      <c r="BB66" s="113">
        <v>0</v>
      </c>
      <c r="BC66" s="113">
        <v>0</v>
      </c>
    </row>
    <row r="67" spans="1:55" s="105" customFormat="1" ht="126">
      <c r="A67" s="237" t="s">
        <v>904</v>
      </c>
      <c r="B67" s="200" t="s">
        <v>903</v>
      </c>
      <c r="C67" s="202" t="s">
        <v>876</v>
      </c>
      <c r="D67" s="177">
        <v>0</v>
      </c>
      <c r="E67" s="173">
        <f t="shared" si="20"/>
        <v>0</v>
      </c>
      <c r="F67" s="173">
        <f t="shared" si="4"/>
        <v>0</v>
      </c>
      <c r="G67" s="173">
        <f t="shared" si="5"/>
        <v>0</v>
      </c>
      <c r="H67" s="173">
        <f t="shared" si="6"/>
        <v>0</v>
      </c>
      <c r="I67" s="173">
        <f t="shared" si="7"/>
        <v>0</v>
      </c>
      <c r="J67" s="173">
        <f t="shared" si="16"/>
        <v>0</v>
      </c>
      <c r="K67" s="174">
        <v>0</v>
      </c>
      <c r="L67" s="174">
        <v>0</v>
      </c>
      <c r="M67" s="174">
        <v>0</v>
      </c>
      <c r="N67" s="174">
        <v>0</v>
      </c>
      <c r="O67" s="173">
        <f t="shared" si="8"/>
        <v>0</v>
      </c>
      <c r="P67" s="174">
        <v>0</v>
      </c>
      <c r="Q67" s="174">
        <v>0</v>
      </c>
      <c r="R67" s="174">
        <v>0</v>
      </c>
      <c r="S67" s="174">
        <v>0</v>
      </c>
      <c r="T67" s="173">
        <f t="shared" si="17"/>
        <v>0</v>
      </c>
      <c r="U67" s="174">
        <v>0</v>
      </c>
      <c r="V67" s="174">
        <v>0</v>
      </c>
      <c r="W67" s="174">
        <v>0</v>
      </c>
      <c r="X67" s="174">
        <v>0</v>
      </c>
      <c r="Y67" s="173">
        <f t="shared" si="18"/>
        <v>0</v>
      </c>
      <c r="Z67" s="174">
        <v>0</v>
      </c>
      <c r="AA67" s="174">
        <v>0</v>
      </c>
      <c r="AB67" s="174">
        <v>0</v>
      </c>
      <c r="AC67" s="174">
        <v>0</v>
      </c>
      <c r="AD67" s="178" t="s">
        <v>1009</v>
      </c>
      <c r="AE67" s="173">
        <f t="shared" si="31"/>
        <v>0</v>
      </c>
      <c r="AF67" s="173">
        <f t="shared" si="21"/>
        <v>0</v>
      </c>
      <c r="AG67" s="173">
        <f t="shared" si="9"/>
        <v>0</v>
      </c>
      <c r="AH67" s="173">
        <f t="shared" si="10"/>
        <v>0</v>
      </c>
      <c r="AI67" s="173">
        <f t="shared" si="11"/>
        <v>0</v>
      </c>
      <c r="AJ67" s="173">
        <f t="shared" si="32"/>
        <v>0</v>
      </c>
      <c r="AK67" s="174">
        <v>0</v>
      </c>
      <c r="AL67" s="174">
        <v>0</v>
      </c>
      <c r="AM67" s="174">
        <v>0</v>
      </c>
      <c r="AN67" s="174">
        <v>0</v>
      </c>
      <c r="AO67" s="173">
        <f t="shared" si="33"/>
        <v>0</v>
      </c>
      <c r="AP67" s="174">
        <v>0</v>
      </c>
      <c r="AQ67" s="174">
        <v>0</v>
      </c>
      <c r="AR67" s="174">
        <v>0</v>
      </c>
      <c r="AS67" s="174">
        <v>0</v>
      </c>
      <c r="AT67" s="109">
        <f t="shared" si="34"/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f t="shared" si="178"/>
        <v>0</v>
      </c>
      <c r="AZ67" s="113">
        <v>0</v>
      </c>
      <c r="BA67" s="113">
        <v>0</v>
      </c>
      <c r="BB67" s="113">
        <v>0</v>
      </c>
      <c r="BC67" s="113">
        <v>0</v>
      </c>
    </row>
    <row r="68" spans="1:55" s="105" customFormat="1" ht="94.5">
      <c r="A68" s="239" t="s">
        <v>905</v>
      </c>
      <c r="B68" s="200" t="s">
        <v>906</v>
      </c>
      <c r="C68" s="202" t="s">
        <v>876</v>
      </c>
      <c r="D68" s="177">
        <v>0</v>
      </c>
      <c r="E68" s="173">
        <f t="shared" si="20"/>
        <v>0</v>
      </c>
      <c r="F68" s="173">
        <f t="shared" si="4"/>
        <v>0</v>
      </c>
      <c r="G68" s="173">
        <f t="shared" si="5"/>
        <v>0</v>
      </c>
      <c r="H68" s="173">
        <f t="shared" si="6"/>
        <v>0</v>
      </c>
      <c r="I68" s="173">
        <f t="shared" si="7"/>
        <v>0</v>
      </c>
      <c r="J68" s="173">
        <f t="shared" si="16"/>
        <v>0</v>
      </c>
      <c r="K68" s="174">
        <f>K69+K70</f>
        <v>0</v>
      </c>
      <c r="L68" s="174">
        <f>L69+L70</f>
        <v>0</v>
      </c>
      <c r="M68" s="174">
        <f>M69+M70</f>
        <v>0</v>
      </c>
      <c r="N68" s="174">
        <f>N69+N70</f>
        <v>0</v>
      </c>
      <c r="O68" s="173">
        <f t="shared" si="8"/>
        <v>0</v>
      </c>
      <c r="P68" s="174">
        <f>P69+P70</f>
        <v>0</v>
      </c>
      <c r="Q68" s="174">
        <f>Q69+Q70</f>
        <v>0</v>
      </c>
      <c r="R68" s="174">
        <f>R69+R70</f>
        <v>0</v>
      </c>
      <c r="S68" s="174">
        <f>S69+S70</f>
        <v>0</v>
      </c>
      <c r="T68" s="173">
        <f t="shared" si="17"/>
        <v>0</v>
      </c>
      <c r="U68" s="174">
        <f>U69+U70</f>
        <v>0</v>
      </c>
      <c r="V68" s="174">
        <f>V69+V70</f>
        <v>0</v>
      </c>
      <c r="W68" s="174">
        <f>W69+W70</f>
        <v>0</v>
      </c>
      <c r="X68" s="174">
        <f>X69+X70</f>
        <v>0</v>
      </c>
      <c r="Y68" s="173">
        <f t="shared" si="18"/>
        <v>0</v>
      </c>
      <c r="Z68" s="174">
        <f>Z69+Z70</f>
        <v>0</v>
      </c>
      <c r="AA68" s="174">
        <f>AA69+AA70</f>
        <v>0</v>
      </c>
      <c r="AB68" s="174">
        <f>AB69+AB70</f>
        <v>0</v>
      </c>
      <c r="AC68" s="174">
        <f>AC69+AC70</f>
        <v>0</v>
      </c>
      <c r="AD68" s="178" t="s">
        <v>1009</v>
      </c>
      <c r="AE68" s="173">
        <f t="shared" si="31"/>
        <v>0</v>
      </c>
      <c r="AF68" s="173">
        <f t="shared" si="21"/>
        <v>0</v>
      </c>
      <c r="AG68" s="173">
        <f t="shared" si="9"/>
        <v>0</v>
      </c>
      <c r="AH68" s="173">
        <f t="shared" si="10"/>
        <v>0</v>
      </c>
      <c r="AI68" s="173">
        <f t="shared" si="11"/>
        <v>0</v>
      </c>
      <c r="AJ68" s="173">
        <f t="shared" si="32"/>
        <v>0</v>
      </c>
      <c r="AK68" s="174">
        <f>AK69+AK70</f>
        <v>0</v>
      </c>
      <c r="AL68" s="174">
        <f>AL69+AL70</f>
        <v>0</v>
      </c>
      <c r="AM68" s="174">
        <f>AM69+AM70</f>
        <v>0</v>
      </c>
      <c r="AN68" s="174">
        <f>AN69+AN70</f>
        <v>0</v>
      </c>
      <c r="AO68" s="173">
        <f t="shared" si="33"/>
        <v>0</v>
      </c>
      <c r="AP68" s="174">
        <f>AP69+AP70</f>
        <v>0</v>
      </c>
      <c r="AQ68" s="174">
        <f>AQ69+AQ70</f>
        <v>0</v>
      </c>
      <c r="AR68" s="174">
        <f>AR69+AR70</f>
        <v>0</v>
      </c>
      <c r="AS68" s="174">
        <f>AS69+AS70</f>
        <v>0</v>
      </c>
      <c r="AT68" s="109">
        <f t="shared" si="34"/>
        <v>0</v>
      </c>
      <c r="AU68" s="113">
        <f>AU69+AU70</f>
        <v>0</v>
      </c>
      <c r="AV68" s="113">
        <f>AV69+AV70</f>
        <v>0</v>
      </c>
      <c r="AW68" s="113">
        <f>AW69+AW70</f>
        <v>0</v>
      </c>
      <c r="AX68" s="113">
        <f>AX69+AX70</f>
        <v>0</v>
      </c>
      <c r="AY68" s="113">
        <f t="shared" si="178"/>
        <v>0</v>
      </c>
      <c r="AZ68" s="113">
        <f>AZ69+AZ70</f>
        <v>0</v>
      </c>
      <c r="BA68" s="113">
        <f>BA69+BA70</f>
        <v>0</v>
      </c>
      <c r="BB68" s="113">
        <f>BB69+BB70</f>
        <v>0</v>
      </c>
      <c r="BC68" s="113">
        <f>BC69+BC70</f>
        <v>0</v>
      </c>
    </row>
    <row r="69" spans="1:55" s="105" customFormat="1" ht="110.25">
      <c r="A69" s="237" t="s">
        <v>907</v>
      </c>
      <c r="B69" s="200" t="s">
        <v>902</v>
      </c>
      <c r="C69" s="202" t="s">
        <v>876</v>
      </c>
      <c r="D69" s="177">
        <v>0</v>
      </c>
      <c r="E69" s="173">
        <f t="shared" si="20"/>
        <v>0</v>
      </c>
      <c r="F69" s="173">
        <f t="shared" si="4"/>
        <v>0</v>
      </c>
      <c r="G69" s="173">
        <f t="shared" si="5"/>
        <v>0</v>
      </c>
      <c r="H69" s="173">
        <f t="shared" si="6"/>
        <v>0</v>
      </c>
      <c r="I69" s="173">
        <f t="shared" si="7"/>
        <v>0</v>
      </c>
      <c r="J69" s="173">
        <f t="shared" si="16"/>
        <v>0</v>
      </c>
      <c r="K69" s="174">
        <v>0</v>
      </c>
      <c r="L69" s="174">
        <v>0</v>
      </c>
      <c r="M69" s="174">
        <v>0</v>
      </c>
      <c r="N69" s="174">
        <v>0</v>
      </c>
      <c r="O69" s="173">
        <f t="shared" si="8"/>
        <v>0</v>
      </c>
      <c r="P69" s="174">
        <v>0</v>
      </c>
      <c r="Q69" s="174">
        <v>0</v>
      </c>
      <c r="R69" s="174">
        <v>0</v>
      </c>
      <c r="S69" s="174">
        <v>0</v>
      </c>
      <c r="T69" s="173">
        <f t="shared" si="17"/>
        <v>0</v>
      </c>
      <c r="U69" s="174">
        <v>0</v>
      </c>
      <c r="V69" s="174">
        <v>0</v>
      </c>
      <c r="W69" s="174">
        <v>0</v>
      </c>
      <c r="X69" s="174">
        <v>0</v>
      </c>
      <c r="Y69" s="173">
        <f t="shared" si="18"/>
        <v>0</v>
      </c>
      <c r="Z69" s="174">
        <v>0</v>
      </c>
      <c r="AA69" s="174">
        <v>0</v>
      </c>
      <c r="AB69" s="174">
        <v>0</v>
      </c>
      <c r="AC69" s="174">
        <v>0</v>
      </c>
      <c r="AD69" s="178" t="s">
        <v>1009</v>
      </c>
      <c r="AE69" s="173">
        <f t="shared" si="31"/>
        <v>0</v>
      </c>
      <c r="AF69" s="173">
        <f t="shared" si="21"/>
        <v>0</v>
      </c>
      <c r="AG69" s="173">
        <f t="shared" si="9"/>
        <v>0</v>
      </c>
      <c r="AH69" s="173">
        <f t="shared" si="10"/>
        <v>0</v>
      </c>
      <c r="AI69" s="173">
        <f t="shared" si="11"/>
        <v>0</v>
      </c>
      <c r="AJ69" s="173">
        <f t="shared" si="32"/>
        <v>0</v>
      </c>
      <c r="AK69" s="174">
        <v>0</v>
      </c>
      <c r="AL69" s="174">
        <v>0</v>
      </c>
      <c r="AM69" s="174">
        <v>0</v>
      </c>
      <c r="AN69" s="174">
        <v>0</v>
      </c>
      <c r="AO69" s="173">
        <f t="shared" si="33"/>
        <v>0</v>
      </c>
      <c r="AP69" s="174">
        <v>0</v>
      </c>
      <c r="AQ69" s="174">
        <v>0</v>
      </c>
      <c r="AR69" s="174">
        <v>0</v>
      </c>
      <c r="AS69" s="174">
        <v>0</v>
      </c>
      <c r="AT69" s="109">
        <f t="shared" si="34"/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f t="shared" si="178"/>
        <v>0</v>
      </c>
      <c r="AZ69" s="113">
        <v>0</v>
      </c>
      <c r="BA69" s="113">
        <v>0</v>
      </c>
      <c r="BB69" s="113">
        <v>0</v>
      </c>
      <c r="BC69" s="113">
        <v>0</v>
      </c>
    </row>
    <row r="70" spans="1:55" s="105" customFormat="1" ht="94.5">
      <c r="A70" s="237" t="s">
        <v>908</v>
      </c>
      <c r="B70" s="200" t="s">
        <v>909</v>
      </c>
      <c r="C70" s="202" t="s">
        <v>876</v>
      </c>
      <c r="D70" s="177">
        <v>0</v>
      </c>
      <c r="E70" s="173">
        <f t="shared" si="20"/>
        <v>0</v>
      </c>
      <c r="F70" s="173">
        <f t="shared" si="4"/>
        <v>0</v>
      </c>
      <c r="G70" s="173">
        <f t="shared" si="5"/>
        <v>0</v>
      </c>
      <c r="H70" s="173">
        <f t="shared" si="6"/>
        <v>0</v>
      </c>
      <c r="I70" s="173">
        <f t="shared" si="7"/>
        <v>0</v>
      </c>
      <c r="J70" s="173">
        <f t="shared" si="16"/>
        <v>0</v>
      </c>
      <c r="K70" s="174">
        <v>0</v>
      </c>
      <c r="L70" s="174">
        <v>0</v>
      </c>
      <c r="M70" s="174">
        <v>0</v>
      </c>
      <c r="N70" s="174">
        <v>0</v>
      </c>
      <c r="O70" s="173">
        <f t="shared" si="8"/>
        <v>0</v>
      </c>
      <c r="P70" s="174">
        <v>0</v>
      </c>
      <c r="Q70" s="174">
        <v>0</v>
      </c>
      <c r="R70" s="174">
        <v>0</v>
      </c>
      <c r="S70" s="174">
        <v>0</v>
      </c>
      <c r="T70" s="173">
        <f t="shared" si="17"/>
        <v>0</v>
      </c>
      <c r="U70" s="174">
        <v>0</v>
      </c>
      <c r="V70" s="174">
        <v>0</v>
      </c>
      <c r="W70" s="174">
        <v>0</v>
      </c>
      <c r="X70" s="174">
        <v>0</v>
      </c>
      <c r="Y70" s="173">
        <f t="shared" si="18"/>
        <v>0</v>
      </c>
      <c r="Z70" s="174">
        <v>0</v>
      </c>
      <c r="AA70" s="174">
        <v>0</v>
      </c>
      <c r="AB70" s="174">
        <v>0</v>
      </c>
      <c r="AC70" s="174">
        <v>0</v>
      </c>
      <c r="AD70" s="178">
        <v>0</v>
      </c>
      <c r="AE70" s="173">
        <f t="shared" si="31"/>
        <v>0</v>
      </c>
      <c r="AF70" s="173">
        <f t="shared" si="21"/>
        <v>0</v>
      </c>
      <c r="AG70" s="173">
        <f t="shared" si="9"/>
        <v>0</v>
      </c>
      <c r="AH70" s="173">
        <f t="shared" si="10"/>
        <v>0</v>
      </c>
      <c r="AI70" s="173">
        <f t="shared" si="11"/>
        <v>0</v>
      </c>
      <c r="AJ70" s="173">
        <f t="shared" si="32"/>
        <v>0</v>
      </c>
      <c r="AK70" s="174">
        <v>0</v>
      </c>
      <c r="AL70" s="174">
        <v>0</v>
      </c>
      <c r="AM70" s="174">
        <v>0</v>
      </c>
      <c r="AN70" s="174">
        <v>0</v>
      </c>
      <c r="AO70" s="173">
        <f t="shared" si="33"/>
        <v>0</v>
      </c>
      <c r="AP70" s="174">
        <v>0</v>
      </c>
      <c r="AQ70" s="174">
        <v>0</v>
      </c>
      <c r="AR70" s="174">
        <v>0</v>
      </c>
      <c r="AS70" s="174">
        <v>0</v>
      </c>
      <c r="AT70" s="109">
        <f t="shared" si="34"/>
        <v>0</v>
      </c>
      <c r="AU70" s="113">
        <v>0</v>
      </c>
      <c r="AV70" s="113">
        <v>0</v>
      </c>
      <c r="AW70" s="113">
        <v>0</v>
      </c>
      <c r="AX70" s="113">
        <v>0</v>
      </c>
      <c r="AY70" s="114">
        <f t="shared" si="178"/>
        <v>0</v>
      </c>
      <c r="AZ70" s="113">
        <v>0</v>
      </c>
      <c r="BA70" s="113">
        <v>0</v>
      </c>
      <c r="BB70" s="113">
        <v>0</v>
      </c>
      <c r="BC70" s="113">
        <v>0</v>
      </c>
    </row>
    <row r="71" spans="1:55" s="105" customFormat="1" ht="47.25">
      <c r="A71" s="239" t="s">
        <v>910</v>
      </c>
      <c r="B71" s="200" t="s">
        <v>911</v>
      </c>
      <c r="C71" s="202" t="s">
        <v>876</v>
      </c>
      <c r="D71" s="172">
        <f>D72+D77</f>
        <v>11.766400600001797</v>
      </c>
      <c r="E71" s="173">
        <f t="shared" si="20"/>
        <v>5.6513459399999997</v>
      </c>
      <c r="F71" s="173">
        <f t="shared" si="4"/>
        <v>0.67008000000000001</v>
      </c>
      <c r="G71" s="173">
        <f t="shared" si="5"/>
        <v>3.2327410300000001</v>
      </c>
      <c r="H71" s="173">
        <f t="shared" si="6"/>
        <v>1.7485249100000002</v>
      </c>
      <c r="I71" s="173">
        <f t="shared" si="7"/>
        <v>0</v>
      </c>
      <c r="J71" s="173">
        <f t="shared" si="16"/>
        <v>2.9246683299999998</v>
      </c>
      <c r="K71" s="174">
        <f>K72+K77+K85+K94</f>
        <v>0.42008000000000001</v>
      </c>
      <c r="L71" s="174">
        <f>L72+L77+L85+L94</f>
        <v>2.02460833</v>
      </c>
      <c r="M71" s="174">
        <f>M72+M77+M85+M94</f>
        <v>0.47998000000000002</v>
      </c>
      <c r="N71" s="174">
        <f>N72+N77+N85+N94</f>
        <v>0</v>
      </c>
      <c r="O71" s="173">
        <f t="shared" si="8"/>
        <v>1.2081327000000002</v>
      </c>
      <c r="P71" s="174">
        <f>P72+P77+P85+P94</f>
        <v>0</v>
      </c>
      <c r="Q71" s="174">
        <f>Q72+Q77+Q85+Q94</f>
        <v>1.2081327000000002</v>
      </c>
      <c r="R71" s="174">
        <f>R72+R77+R85+R94</f>
        <v>0</v>
      </c>
      <c r="S71" s="174">
        <f>S72+S77+S85+S94</f>
        <v>0</v>
      </c>
      <c r="T71" s="173">
        <f t="shared" si="17"/>
        <v>0</v>
      </c>
      <c r="U71" s="174">
        <f>U72+U77+U85+U94</f>
        <v>0</v>
      </c>
      <c r="V71" s="174">
        <f>V72+V77+V85+V94</f>
        <v>0</v>
      </c>
      <c r="W71" s="174">
        <f>W72+W77+W85+W94</f>
        <v>0</v>
      </c>
      <c r="X71" s="174">
        <f>X72+X77+X85+X94</f>
        <v>0</v>
      </c>
      <c r="Y71" s="173">
        <f t="shared" si="18"/>
        <v>1.5185449100000001</v>
      </c>
      <c r="Z71" s="174">
        <f>Z72+Z77+Z85+Z94</f>
        <v>0.25</v>
      </c>
      <c r="AA71" s="174">
        <f>AA72+AA77+AA85+AA94</f>
        <v>0</v>
      </c>
      <c r="AB71" s="174">
        <f>AB72+AB77+AB85+AB94</f>
        <v>1.2685449100000001</v>
      </c>
      <c r="AC71" s="174">
        <f>AC72+AC77+AC85+AC94</f>
        <v>0</v>
      </c>
      <c r="AD71" s="172">
        <v>6.4691525423728802</v>
      </c>
      <c r="AE71" s="173">
        <f t="shared" si="31"/>
        <v>6.1722983057288134</v>
      </c>
      <c r="AF71" s="173">
        <f t="shared" si="21"/>
        <v>0.63237288200000008</v>
      </c>
      <c r="AG71" s="173">
        <f t="shared" si="9"/>
        <v>0.52140423728813556</v>
      </c>
      <c r="AH71" s="173">
        <f t="shared" si="10"/>
        <v>5.0185211864406787</v>
      </c>
      <c r="AI71" s="173">
        <f t="shared" si="11"/>
        <v>0</v>
      </c>
      <c r="AJ71" s="173">
        <f t="shared" si="32"/>
        <v>0.39</v>
      </c>
      <c r="AK71" s="174">
        <f>AK72+AK77+AK85+AK94</f>
        <v>0.39</v>
      </c>
      <c r="AL71" s="174">
        <f>AL72+AL77+AL85+AL94</f>
        <v>0</v>
      </c>
      <c r="AM71" s="174">
        <f>AM72+AM77+AM85+AM94</f>
        <v>0</v>
      </c>
      <c r="AN71" s="174">
        <f>AN72+AN77+AN85+AN94</f>
        <v>0</v>
      </c>
      <c r="AO71" s="173">
        <f t="shared" si="33"/>
        <v>0</v>
      </c>
      <c r="AP71" s="174">
        <f>AP72+AP77+AP85+AP94</f>
        <v>0</v>
      </c>
      <c r="AQ71" s="174">
        <f>AQ72+AQ77+AQ85+AQ94</f>
        <v>0</v>
      </c>
      <c r="AR71" s="174">
        <f>AR72+AR77+AR85+AR94</f>
        <v>0</v>
      </c>
      <c r="AS71" s="174">
        <f>AS72+AS77+AS85+AS94</f>
        <v>0</v>
      </c>
      <c r="AT71" s="109">
        <f t="shared" si="34"/>
        <v>0</v>
      </c>
      <c r="AU71" s="113">
        <f>AU72+AU77+AU85+AU94</f>
        <v>0</v>
      </c>
      <c r="AV71" s="113">
        <f>AV72+AV77+AV85+AV94</f>
        <v>0</v>
      </c>
      <c r="AW71" s="113">
        <f>AW72+AW77+AW85+AW94</f>
        <v>0</v>
      </c>
      <c r="AX71" s="113">
        <f>AX72+AX77+AX85+AX94</f>
        <v>0</v>
      </c>
      <c r="AY71" s="113">
        <f>SUM(AZ71:BC71)</f>
        <v>5.7822983057288138</v>
      </c>
      <c r="AZ71" s="113">
        <f>AZ72+AZ77+AZ85+AZ94</f>
        <v>0.24237288200000001</v>
      </c>
      <c r="BA71" s="113">
        <f t="shared" ref="BA71:BC71" si="179">BA72+BA77+BA85+BA94</f>
        <v>0.52140423728813556</v>
      </c>
      <c r="BB71" s="113">
        <f t="shared" si="179"/>
        <v>5.0185211864406787</v>
      </c>
      <c r="BC71" s="113">
        <f t="shared" si="179"/>
        <v>0</v>
      </c>
    </row>
    <row r="72" spans="1:55" s="105" customFormat="1" ht="78.75">
      <c r="A72" s="239" t="s">
        <v>840</v>
      </c>
      <c r="B72" s="200" t="s">
        <v>912</v>
      </c>
      <c r="C72" s="202" t="s">
        <v>876</v>
      </c>
      <c r="D72" s="172">
        <f>D73</f>
        <v>3.0182650299999998</v>
      </c>
      <c r="E72" s="173">
        <f t="shared" si="20"/>
        <v>3.0182650300000002</v>
      </c>
      <c r="F72" s="173">
        <f t="shared" si="4"/>
        <v>0</v>
      </c>
      <c r="G72" s="173">
        <f t="shared" si="5"/>
        <v>3.0182650300000002</v>
      </c>
      <c r="H72" s="173">
        <f t="shared" si="6"/>
        <v>0</v>
      </c>
      <c r="I72" s="173">
        <f t="shared" si="7"/>
        <v>0</v>
      </c>
      <c r="J72" s="173">
        <f t="shared" si="16"/>
        <v>1.8101323300000001</v>
      </c>
      <c r="K72" s="174">
        <f>K73+K76</f>
        <v>0</v>
      </c>
      <c r="L72" s="174">
        <f>L73+L76</f>
        <v>1.8101323300000001</v>
      </c>
      <c r="M72" s="174">
        <f>M73+M76</f>
        <v>0</v>
      </c>
      <c r="N72" s="174">
        <f>N73+N76</f>
        <v>0</v>
      </c>
      <c r="O72" s="173">
        <f t="shared" si="8"/>
        <v>1.2081327000000002</v>
      </c>
      <c r="P72" s="174">
        <f>P73+P76</f>
        <v>0</v>
      </c>
      <c r="Q72" s="174">
        <f>Q73+Q76</f>
        <v>1.2081327000000002</v>
      </c>
      <c r="R72" s="174">
        <f>R73+R76</f>
        <v>0</v>
      </c>
      <c r="S72" s="174">
        <f>S73+S76</f>
        <v>0</v>
      </c>
      <c r="T72" s="173">
        <f t="shared" si="17"/>
        <v>0</v>
      </c>
      <c r="U72" s="174">
        <f>U73+U76</f>
        <v>0</v>
      </c>
      <c r="V72" s="174">
        <f>V73+V76</f>
        <v>0</v>
      </c>
      <c r="W72" s="174">
        <f>W73+W76</f>
        <v>0</v>
      </c>
      <c r="X72" s="174">
        <f>X73+X76</f>
        <v>0</v>
      </c>
      <c r="Y72" s="173">
        <f t="shared" si="18"/>
        <v>0</v>
      </c>
      <c r="Z72" s="174">
        <f>Z73+Z76</f>
        <v>0</v>
      </c>
      <c r="AA72" s="174">
        <f>AA73+AA76</f>
        <v>0</v>
      </c>
      <c r="AB72" s="174">
        <f>AB73+AB76</f>
        <v>0</v>
      </c>
      <c r="AC72" s="174">
        <f>AC73+AC76</f>
        <v>0</v>
      </c>
      <c r="AD72" s="172">
        <v>0</v>
      </c>
      <c r="AE72" s="173">
        <f t="shared" si="31"/>
        <v>0</v>
      </c>
      <c r="AF72" s="173">
        <f t="shared" si="21"/>
        <v>0</v>
      </c>
      <c r="AG72" s="173">
        <f t="shared" si="9"/>
        <v>0</v>
      </c>
      <c r="AH72" s="173">
        <f t="shared" si="10"/>
        <v>0</v>
      </c>
      <c r="AI72" s="173">
        <f t="shared" si="11"/>
        <v>0</v>
      </c>
      <c r="AJ72" s="173">
        <f t="shared" si="32"/>
        <v>0</v>
      </c>
      <c r="AK72" s="174">
        <f>AK73+AK76</f>
        <v>0</v>
      </c>
      <c r="AL72" s="174">
        <f>AL73+AL76</f>
        <v>0</v>
      </c>
      <c r="AM72" s="174">
        <f>AM73+AM76</f>
        <v>0</v>
      </c>
      <c r="AN72" s="174">
        <f>AN73+AN76</f>
        <v>0</v>
      </c>
      <c r="AO72" s="173">
        <f t="shared" si="33"/>
        <v>0</v>
      </c>
      <c r="AP72" s="174">
        <f>AP73+AP76</f>
        <v>0</v>
      </c>
      <c r="AQ72" s="174">
        <f>AQ73+AQ76</f>
        <v>0</v>
      </c>
      <c r="AR72" s="174">
        <f>AR73+AR76</f>
        <v>0</v>
      </c>
      <c r="AS72" s="174">
        <f>AS73+AS76</f>
        <v>0</v>
      </c>
      <c r="AT72" s="109">
        <f t="shared" si="34"/>
        <v>0</v>
      </c>
      <c r="AU72" s="113">
        <f>AU73+AU76</f>
        <v>0</v>
      </c>
      <c r="AV72" s="113">
        <f>AV73+AV76</f>
        <v>0</v>
      </c>
      <c r="AW72" s="113">
        <f>AW73+AW76</f>
        <v>0</v>
      </c>
      <c r="AX72" s="113">
        <f>AX73+AX76</f>
        <v>0</v>
      </c>
      <c r="AY72" s="113">
        <f>SUM(AZ72:BC72)</f>
        <v>0</v>
      </c>
      <c r="AZ72" s="113">
        <f>AZ73+AZ76</f>
        <v>0</v>
      </c>
      <c r="BA72" s="113">
        <f>BA73+BA76</f>
        <v>0</v>
      </c>
      <c r="BB72" s="113">
        <f>BB73+BB76</f>
        <v>0</v>
      </c>
      <c r="BC72" s="113">
        <f>BC73+BC76</f>
        <v>0</v>
      </c>
    </row>
    <row r="73" spans="1:55" s="105" customFormat="1" ht="31.5">
      <c r="A73" s="239" t="s">
        <v>421</v>
      </c>
      <c r="B73" s="200" t="s">
        <v>913</v>
      </c>
      <c r="C73" s="198" t="s">
        <v>876</v>
      </c>
      <c r="D73" s="172">
        <f>SUM(D74:D75)</f>
        <v>3.0182650299999998</v>
      </c>
      <c r="E73" s="172">
        <f t="shared" ref="E73:AS73" si="180">SUM(E74:E75)</f>
        <v>3.0182650300000002</v>
      </c>
      <c r="F73" s="172">
        <f t="shared" si="180"/>
        <v>0</v>
      </c>
      <c r="G73" s="172">
        <f t="shared" si="180"/>
        <v>3.0182650300000002</v>
      </c>
      <c r="H73" s="172">
        <f t="shared" si="180"/>
        <v>0</v>
      </c>
      <c r="I73" s="172">
        <f t="shared" si="180"/>
        <v>0</v>
      </c>
      <c r="J73" s="172">
        <f t="shared" si="180"/>
        <v>1.8101323300000001</v>
      </c>
      <c r="K73" s="172">
        <f t="shared" si="180"/>
        <v>0</v>
      </c>
      <c r="L73" s="172">
        <f t="shared" si="180"/>
        <v>1.8101323300000001</v>
      </c>
      <c r="M73" s="172">
        <f t="shared" si="180"/>
        <v>0</v>
      </c>
      <c r="N73" s="172">
        <f t="shared" si="180"/>
        <v>0</v>
      </c>
      <c r="O73" s="172">
        <f t="shared" si="180"/>
        <v>0</v>
      </c>
      <c r="P73" s="172">
        <f t="shared" si="180"/>
        <v>0</v>
      </c>
      <c r="Q73" s="172">
        <f t="shared" si="180"/>
        <v>1.2081327000000002</v>
      </c>
      <c r="R73" s="172">
        <f t="shared" si="180"/>
        <v>0</v>
      </c>
      <c r="S73" s="172">
        <f t="shared" si="180"/>
        <v>0</v>
      </c>
      <c r="T73" s="172">
        <f t="shared" si="180"/>
        <v>0</v>
      </c>
      <c r="U73" s="172">
        <f t="shared" si="180"/>
        <v>0</v>
      </c>
      <c r="V73" s="172">
        <f t="shared" si="180"/>
        <v>0</v>
      </c>
      <c r="W73" s="172">
        <f t="shared" si="180"/>
        <v>0</v>
      </c>
      <c r="X73" s="172">
        <f t="shared" si="180"/>
        <v>0</v>
      </c>
      <c r="Y73" s="172">
        <f t="shared" si="180"/>
        <v>0</v>
      </c>
      <c r="Z73" s="172">
        <f t="shared" si="180"/>
        <v>0</v>
      </c>
      <c r="AA73" s="172">
        <f t="shared" si="180"/>
        <v>0</v>
      </c>
      <c r="AB73" s="172">
        <f t="shared" si="180"/>
        <v>0</v>
      </c>
      <c r="AC73" s="172">
        <f t="shared" si="180"/>
        <v>0</v>
      </c>
      <c r="AD73" s="172">
        <f t="shared" si="180"/>
        <v>0</v>
      </c>
      <c r="AE73" s="172">
        <f t="shared" si="180"/>
        <v>0</v>
      </c>
      <c r="AF73" s="172">
        <f t="shared" si="180"/>
        <v>0</v>
      </c>
      <c r="AG73" s="172">
        <f t="shared" si="180"/>
        <v>0</v>
      </c>
      <c r="AH73" s="172">
        <f t="shared" si="180"/>
        <v>0</v>
      </c>
      <c r="AI73" s="172">
        <f t="shared" si="180"/>
        <v>0</v>
      </c>
      <c r="AJ73" s="172">
        <f t="shared" si="180"/>
        <v>0</v>
      </c>
      <c r="AK73" s="172">
        <f t="shared" si="180"/>
        <v>0</v>
      </c>
      <c r="AL73" s="172">
        <f t="shared" si="180"/>
        <v>0</v>
      </c>
      <c r="AM73" s="172">
        <f t="shared" si="180"/>
        <v>0</v>
      </c>
      <c r="AN73" s="172">
        <f t="shared" si="180"/>
        <v>0</v>
      </c>
      <c r="AO73" s="172">
        <f t="shared" si="180"/>
        <v>0</v>
      </c>
      <c r="AP73" s="172">
        <f t="shared" si="180"/>
        <v>0</v>
      </c>
      <c r="AQ73" s="172">
        <f t="shared" si="180"/>
        <v>0</v>
      </c>
      <c r="AR73" s="172">
        <f t="shared" si="180"/>
        <v>0</v>
      </c>
      <c r="AS73" s="172">
        <f t="shared" si="180"/>
        <v>0</v>
      </c>
      <c r="AT73" s="109">
        <f t="shared" si="34"/>
        <v>0</v>
      </c>
      <c r="AU73" s="113">
        <v>0</v>
      </c>
      <c r="AV73" s="113">
        <v>0</v>
      </c>
      <c r="AW73" s="113">
        <v>0</v>
      </c>
      <c r="AX73" s="113">
        <v>0</v>
      </c>
      <c r="AY73" s="113">
        <f t="shared" si="178"/>
        <v>0</v>
      </c>
      <c r="AZ73" s="113">
        <v>0</v>
      </c>
      <c r="BA73" s="113">
        <v>0</v>
      </c>
      <c r="BB73" s="113">
        <v>0</v>
      </c>
      <c r="BC73" s="113">
        <v>0</v>
      </c>
    </row>
    <row r="74" spans="1:55" s="152" customFormat="1">
      <c r="A74" s="242" t="s">
        <v>423</v>
      </c>
      <c r="B74" s="510" t="s">
        <v>1070</v>
      </c>
      <c r="C74" s="207" t="s">
        <v>1086</v>
      </c>
      <c r="D74" s="172">
        <f>'10'!G57</f>
        <v>2.4162653999999999</v>
      </c>
      <c r="E74" s="173">
        <f>SUM(F74:I74)</f>
        <v>2.4162654000000003</v>
      </c>
      <c r="F74" s="173">
        <f t="shared" ref="F74:I75" si="181">K74+P74</f>
        <v>0</v>
      </c>
      <c r="G74" s="173">
        <f t="shared" si="181"/>
        <v>2.4162654000000003</v>
      </c>
      <c r="H74" s="173">
        <f t="shared" si="181"/>
        <v>0</v>
      </c>
      <c r="I74" s="173">
        <f t="shared" si="181"/>
        <v>0</v>
      </c>
      <c r="J74" s="173">
        <f>SUM(K74:N74)</f>
        <v>1.2081326999999999</v>
      </c>
      <c r="K74" s="174">
        <v>0</v>
      </c>
      <c r="L74" s="174">
        <f>'10'!J57</f>
        <v>1.2081326999999999</v>
      </c>
      <c r="M74" s="174">
        <v>0</v>
      </c>
      <c r="N74" s="174">
        <v>0</v>
      </c>
      <c r="O74" s="173">
        <v>0</v>
      </c>
      <c r="P74" s="174">
        <v>0</v>
      </c>
      <c r="Q74" s="174">
        <f>'10'!L57</f>
        <v>1.2081327000000002</v>
      </c>
      <c r="R74" s="174">
        <v>0</v>
      </c>
      <c r="S74" s="174">
        <v>0</v>
      </c>
      <c r="T74" s="173">
        <v>0</v>
      </c>
      <c r="U74" s="174">
        <v>0</v>
      </c>
      <c r="V74" s="174">
        <v>0</v>
      </c>
      <c r="W74" s="174">
        <v>0</v>
      </c>
      <c r="X74" s="174">
        <v>0</v>
      </c>
      <c r="Y74" s="173">
        <v>0</v>
      </c>
      <c r="Z74" s="174">
        <v>0</v>
      </c>
      <c r="AA74" s="174">
        <v>0</v>
      </c>
      <c r="AB74" s="174">
        <v>0</v>
      </c>
      <c r="AC74" s="174">
        <v>0</v>
      </c>
      <c r="AD74" s="172">
        <v>0</v>
      </c>
      <c r="AE74" s="173">
        <v>0</v>
      </c>
      <c r="AF74" s="173">
        <v>0</v>
      </c>
      <c r="AG74" s="173">
        <v>0</v>
      </c>
      <c r="AH74" s="173">
        <v>0</v>
      </c>
      <c r="AI74" s="173">
        <v>0</v>
      </c>
      <c r="AJ74" s="173">
        <v>0</v>
      </c>
      <c r="AK74" s="174">
        <v>0</v>
      </c>
      <c r="AL74" s="174">
        <v>0</v>
      </c>
      <c r="AM74" s="174">
        <v>0</v>
      </c>
      <c r="AN74" s="174">
        <v>0</v>
      </c>
      <c r="AO74" s="173">
        <v>0</v>
      </c>
      <c r="AP74" s="174">
        <v>0</v>
      </c>
      <c r="AQ74" s="174">
        <v>0</v>
      </c>
      <c r="AR74" s="174">
        <v>0</v>
      </c>
      <c r="AS74" s="174">
        <v>0</v>
      </c>
      <c r="AT74" s="109"/>
      <c r="AU74" s="113">
        <v>0</v>
      </c>
      <c r="AV74" s="113">
        <v>0</v>
      </c>
      <c r="AW74" s="113">
        <v>0</v>
      </c>
      <c r="AX74" s="113">
        <v>0</v>
      </c>
      <c r="AY74" s="113">
        <v>0</v>
      </c>
      <c r="AZ74" s="113">
        <v>0</v>
      </c>
      <c r="BA74" s="113">
        <v>0</v>
      </c>
      <c r="BB74" s="113">
        <v>0</v>
      </c>
      <c r="BC74" s="113">
        <v>0</v>
      </c>
    </row>
    <row r="75" spans="1:55" s="152" customFormat="1">
      <c r="A75" s="242" t="s">
        <v>424</v>
      </c>
      <c r="B75" s="510" t="s">
        <v>1071</v>
      </c>
      <c r="C75" s="207" t="s">
        <v>1090</v>
      </c>
      <c r="D75" s="172">
        <f>'10'!G58</f>
        <v>0.60199963000000001</v>
      </c>
      <c r="E75" s="173">
        <f>SUM(F75:I75)</f>
        <v>0.60199963000000001</v>
      </c>
      <c r="F75" s="173">
        <f t="shared" si="181"/>
        <v>0</v>
      </c>
      <c r="G75" s="173">
        <f t="shared" si="181"/>
        <v>0.60199963000000001</v>
      </c>
      <c r="H75" s="173">
        <f t="shared" si="181"/>
        <v>0</v>
      </c>
      <c r="I75" s="173">
        <f t="shared" si="181"/>
        <v>0</v>
      </c>
      <c r="J75" s="173">
        <f>SUM(K75:N75)</f>
        <v>0.60199963000000001</v>
      </c>
      <c r="K75" s="174">
        <v>0</v>
      </c>
      <c r="L75" s="174">
        <f>'10'!J58</f>
        <v>0.60199963000000001</v>
      </c>
      <c r="M75" s="174">
        <v>0</v>
      </c>
      <c r="N75" s="174">
        <v>0</v>
      </c>
      <c r="O75" s="173">
        <v>0</v>
      </c>
      <c r="P75" s="174">
        <v>0</v>
      </c>
      <c r="Q75" s="174">
        <v>0</v>
      </c>
      <c r="R75" s="174">
        <v>0</v>
      </c>
      <c r="S75" s="174">
        <v>0</v>
      </c>
      <c r="T75" s="173">
        <v>0</v>
      </c>
      <c r="U75" s="174">
        <v>0</v>
      </c>
      <c r="V75" s="174">
        <v>0</v>
      </c>
      <c r="W75" s="174">
        <v>0</v>
      </c>
      <c r="X75" s="174">
        <v>0</v>
      </c>
      <c r="Y75" s="173">
        <v>0</v>
      </c>
      <c r="Z75" s="174">
        <v>0</v>
      </c>
      <c r="AA75" s="174">
        <v>0</v>
      </c>
      <c r="AB75" s="174">
        <v>0</v>
      </c>
      <c r="AC75" s="174">
        <v>0</v>
      </c>
      <c r="AD75" s="172">
        <v>0</v>
      </c>
      <c r="AE75" s="173">
        <v>0</v>
      </c>
      <c r="AF75" s="173">
        <v>0</v>
      </c>
      <c r="AG75" s="173">
        <v>0</v>
      </c>
      <c r="AH75" s="173">
        <v>0</v>
      </c>
      <c r="AI75" s="173">
        <v>0</v>
      </c>
      <c r="AJ75" s="173">
        <v>0</v>
      </c>
      <c r="AK75" s="174">
        <v>0</v>
      </c>
      <c r="AL75" s="174">
        <v>0</v>
      </c>
      <c r="AM75" s="174">
        <v>0</v>
      </c>
      <c r="AN75" s="174">
        <v>0</v>
      </c>
      <c r="AO75" s="173">
        <v>0</v>
      </c>
      <c r="AP75" s="174">
        <v>0</v>
      </c>
      <c r="AQ75" s="174">
        <v>0</v>
      </c>
      <c r="AR75" s="174">
        <v>0</v>
      </c>
      <c r="AS75" s="174">
        <v>0</v>
      </c>
      <c r="AT75" s="109"/>
      <c r="AU75" s="113">
        <v>0</v>
      </c>
      <c r="AV75" s="113">
        <v>0</v>
      </c>
      <c r="AW75" s="113">
        <v>0</v>
      </c>
      <c r="AX75" s="113">
        <v>0</v>
      </c>
      <c r="AY75" s="113">
        <v>0</v>
      </c>
      <c r="AZ75" s="113">
        <v>0</v>
      </c>
      <c r="BA75" s="113">
        <v>0</v>
      </c>
      <c r="BB75" s="113">
        <v>0</v>
      </c>
      <c r="BC75" s="113">
        <v>0</v>
      </c>
    </row>
    <row r="76" spans="1:55" s="105" customFormat="1" ht="63">
      <c r="A76" s="239" t="s">
        <v>426</v>
      </c>
      <c r="B76" s="200" t="s">
        <v>914</v>
      </c>
      <c r="C76" s="202" t="s">
        <v>876</v>
      </c>
      <c r="D76" s="175">
        <v>0</v>
      </c>
      <c r="E76" s="173">
        <f t="shared" si="20"/>
        <v>0</v>
      </c>
      <c r="F76" s="173">
        <f t="shared" si="4"/>
        <v>0</v>
      </c>
      <c r="G76" s="173">
        <f t="shared" si="5"/>
        <v>0</v>
      </c>
      <c r="H76" s="173">
        <f t="shared" si="6"/>
        <v>0</v>
      </c>
      <c r="I76" s="173">
        <f t="shared" si="7"/>
        <v>0</v>
      </c>
      <c r="J76" s="173">
        <f t="shared" si="16"/>
        <v>0</v>
      </c>
      <c r="K76" s="174">
        <v>0</v>
      </c>
      <c r="L76" s="174">
        <v>0</v>
      </c>
      <c r="M76" s="174">
        <v>0</v>
      </c>
      <c r="N76" s="174">
        <v>0</v>
      </c>
      <c r="O76" s="173">
        <f t="shared" si="8"/>
        <v>0</v>
      </c>
      <c r="P76" s="174">
        <v>0</v>
      </c>
      <c r="Q76" s="174">
        <v>0</v>
      </c>
      <c r="R76" s="174">
        <v>0</v>
      </c>
      <c r="S76" s="174">
        <v>0</v>
      </c>
      <c r="T76" s="173">
        <f t="shared" si="17"/>
        <v>0</v>
      </c>
      <c r="U76" s="174">
        <v>0</v>
      </c>
      <c r="V76" s="174">
        <v>0</v>
      </c>
      <c r="W76" s="174">
        <v>0</v>
      </c>
      <c r="X76" s="174">
        <v>0</v>
      </c>
      <c r="Y76" s="173">
        <f t="shared" si="18"/>
        <v>0</v>
      </c>
      <c r="Z76" s="174">
        <v>0</v>
      </c>
      <c r="AA76" s="174">
        <v>0</v>
      </c>
      <c r="AB76" s="174">
        <v>0</v>
      </c>
      <c r="AC76" s="174">
        <v>0</v>
      </c>
      <c r="AD76" s="172">
        <v>0</v>
      </c>
      <c r="AE76" s="173">
        <f t="shared" si="31"/>
        <v>0</v>
      </c>
      <c r="AF76" s="173">
        <f t="shared" si="21"/>
        <v>0</v>
      </c>
      <c r="AG76" s="173">
        <f t="shared" si="9"/>
        <v>0</v>
      </c>
      <c r="AH76" s="173">
        <f t="shared" si="10"/>
        <v>0</v>
      </c>
      <c r="AI76" s="173">
        <f t="shared" si="11"/>
        <v>0</v>
      </c>
      <c r="AJ76" s="173">
        <f t="shared" si="32"/>
        <v>0</v>
      </c>
      <c r="AK76" s="174">
        <v>0</v>
      </c>
      <c r="AL76" s="174">
        <v>0</v>
      </c>
      <c r="AM76" s="174">
        <v>0</v>
      </c>
      <c r="AN76" s="174">
        <v>0</v>
      </c>
      <c r="AO76" s="173">
        <f t="shared" si="33"/>
        <v>0</v>
      </c>
      <c r="AP76" s="174">
        <v>0</v>
      </c>
      <c r="AQ76" s="174">
        <v>0</v>
      </c>
      <c r="AR76" s="174">
        <v>0</v>
      </c>
      <c r="AS76" s="174">
        <v>0</v>
      </c>
      <c r="AT76" s="109">
        <f t="shared" si="34"/>
        <v>0</v>
      </c>
      <c r="AU76" s="113">
        <v>0</v>
      </c>
      <c r="AV76" s="113">
        <v>0</v>
      </c>
      <c r="AW76" s="113">
        <v>0</v>
      </c>
      <c r="AX76" s="113">
        <v>0</v>
      </c>
      <c r="AY76" s="113">
        <f t="shared" si="178"/>
        <v>0</v>
      </c>
      <c r="AZ76" s="113">
        <v>0</v>
      </c>
      <c r="BA76" s="113">
        <v>0</v>
      </c>
      <c r="BB76" s="113">
        <v>0</v>
      </c>
      <c r="BC76" s="113">
        <v>0</v>
      </c>
    </row>
    <row r="77" spans="1:55" s="105" customFormat="1" ht="47.25">
      <c r="A77" s="239" t="s">
        <v>841</v>
      </c>
      <c r="B77" s="200" t="s">
        <v>915</v>
      </c>
      <c r="C77" s="202" t="s">
        <v>876</v>
      </c>
      <c r="D77" s="172">
        <f>D78</f>
        <v>8.7481355700017964</v>
      </c>
      <c r="E77" s="173">
        <f t="shared" si="20"/>
        <v>2.6330809100000003</v>
      </c>
      <c r="F77" s="173">
        <f t="shared" si="4"/>
        <v>0.67008000000000001</v>
      </c>
      <c r="G77" s="173">
        <f t="shared" si="5"/>
        <v>0.214476</v>
      </c>
      <c r="H77" s="173">
        <f t="shared" si="6"/>
        <v>1.7485249100000002</v>
      </c>
      <c r="I77" s="173">
        <f t="shared" si="7"/>
        <v>0</v>
      </c>
      <c r="J77" s="173">
        <f t="shared" si="16"/>
        <v>1.114536</v>
      </c>
      <c r="K77" s="173">
        <f>K78+K84</f>
        <v>0.42008000000000001</v>
      </c>
      <c r="L77" s="173">
        <f>L78+L84</f>
        <v>0.214476</v>
      </c>
      <c r="M77" s="173">
        <f>M78+M84</f>
        <v>0.47998000000000002</v>
      </c>
      <c r="N77" s="173">
        <f>N78+N84</f>
        <v>0</v>
      </c>
      <c r="O77" s="173">
        <f t="shared" si="8"/>
        <v>0</v>
      </c>
      <c r="P77" s="173">
        <f>P78+P84</f>
        <v>0</v>
      </c>
      <c r="Q77" s="173">
        <f>Q78+Q84</f>
        <v>0</v>
      </c>
      <c r="R77" s="173">
        <f>R78+R84</f>
        <v>0</v>
      </c>
      <c r="S77" s="173">
        <f>S78+S84</f>
        <v>0</v>
      </c>
      <c r="T77" s="173">
        <f t="shared" si="17"/>
        <v>0</v>
      </c>
      <c r="U77" s="173">
        <f>U78+U84</f>
        <v>0</v>
      </c>
      <c r="V77" s="173">
        <f>V78+V84</f>
        <v>0</v>
      </c>
      <c r="W77" s="173">
        <f>W78+W84</f>
        <v>0</v>
      </c>
      <c r="X77" s="173">
        <f>X78+X84</f>
        <v>0</v>
      </c>
      <c r="Y77" s="173">
        <f t="shared" si="18"/>
        <v>1.5185449100000001</v>
      </c>
      <c r="Z77" s="173">
        <f>Z78+Z84</f>
        <v>0.25</v>
      </c>
      <c r="AA77" s="173">
        <f>AA78+AA84</f>
        <v>0</v>
      </c>
      <c r="AB77" s="173">
        <f>AB78+AB84</f>
        <v>1.2685449100000001</v>
      </c>
      <c r="AC77" s="173">
        <f>AC78+AC84</f>
        <v>0</v>
      </c>
      <c r="AD77" s="178">
        <v>6.4691525423728802</v>
      </c>
      <c r="AE77" s="173">
        <f t="shared" si="31"/>
        <v>6.1722983057288134</v>
      </c>
      <c r="AF77" s="173">
        <f t="shared" si="21"/>
        <v>0.63237288200000008</v>
      </c>
      <c r="AG77" s="173">
        <f t="shared" si="9"/>
        <v>0.52140423728813556</v>
      </c>
      <c r="AH77" s="173">
        <f t="shared" si="10"/>
        <v>5.0185211864406787</v>
      </c>
      <c r="AI77" s="173">
        <f t="shared" si="11"/>
        <v>0</v>
      </c>
      <c r="AJ77" s="173">
        <f t="shared" si="32"/>
        <v>0.39</v>
      </c>
      <c r="AK77" s="173">
        <f>AK78+AK84</f>
        <v>0.39</v>
      </c>
      <c r="AL77" s="173">
        <f>AL78+AL84</f>
        <v>0</v>
      </c>
      <c r="AM77" s="173">
        <f>AM78+AM84</f>
        <v>0</v>
      </c>
      <c r="AN77" s="173">
        <f>AN78+AN84</f>
        <v>0</v>
      </c>
      <c r="AO77" s="173">
        <f t="shared" si="33"/>
        <v>0</v>
      </c>
      <c r="AP77" s="173">
        <f>AP78+AP84</f>
        <v>0</v>
      </c>
      <c r="AQ77" s="173">
        <f>AQ78+AQ84</f>
        <v>0</v>
      </c>
      <c r="AR77" s="173">
        <f>AR78+AR84</f>
        <v>0</v>
      </c>
      <c r="AS77" s="173">
        <f>AS78+AS84</f>
        <v>0</v>
      </c>
      <c r="AT77" s="109">
        <f t="shared" si="34"/>
        <v>0</v>
      </c>
      <c r="AU77" s="114">
        <f>AU78+AU84</f>
        <v>0</v>
      </c>
      <c r="AV77" s="114">
        <f>AV78+AV84</f>
        <v>0</v>
      </c>
      <c r="AW77" s="114">
        <f>AW78+AW84</f>
        <v>0</v>
      </c>
      <c r="AX77" s="114">
        <f>AX78+AX84</f>
        <v>0</v>
      </c>
      <c r="AY77" s="114">
        <f>SUM(AZ77:BC77)</f>
        <v>5.7822983057288138</v>
      </c>
      <c r="AZ77" s="114">
        <f>AZ78+AZ84</f>
        <v>0.24237288200000001</v>
      </c>
      <c r="BA77" s="114">
        <f>BA78+BA84</f>
        <v>0.52140423728813556</v>
      </c>
      <c r="BB77" s="114">
        <f>BB78+BB84</f>
        <v>5.0185211864406787</v>
      </c>
      <c r="BC77" s="114">
        <f>BC78+BC84</f>
        <v>0</v>
      </c>
    </row>
    <row r="78" spans="1:55" s="105" customFormat="1" ht="31.5">
      <c r="A78" s="239" t="s">
        <v>916</v>
      </c>
      <c r="B78" s="200" t="s">
        <v>917</v>
      </c>
      <c r="C78" s="198" t="s">
        <v>876</v>
      </c>
      <c r="D78" s="172">
        <f>SUM(D79:D83)</f>
        <v>8.7481355700017964</v>
      </c>
      <c r="E78" s="173">
        <f>J78+O78+T78+Y78</f>
        <v>2.6330809100000003</v>
      </c>
      <c r="F78" s="173">
        <f>K78+P78+U78+Z78</f>
        <v>0.67008000000000001</v>
      </c>
      <c r="G78" s="173">
        <f t="shared" si="5"/>
        <v>0.214476</v>
      </c>
      <c r="H78" s="173">
        <f t="shared" si="6"/>
        <v>1.7485249100000002</v>
      </c>
      <c r="I78" s="173">
        <f t="shared" si="7"/>
        <v>0</v>
      </c>
      <c r="J78" s="173">
        <f>SUM(K78:N78)</f>
        <v>1.114536</v>
      </c>
      <c r="K78" s="173">
        <f>K80+K81+K82+K83</f>
        <v>0.42008000000000001</v>
      </c>
      <c r="L78" s="173">
        <f t="shared" ref="L78:N78" si="182">L80+L81+L82+L83</f>
        <v>0.214476</v>
      </c>
      <c r="M78" s="173">
        <f t="shared" si="182"/>
        <v>0.47998000000000002</v>
      </c>
      <c r="N78" s="173">
        <f t="shared" si="182"/>
        <v>0</v>
      </c>
      <c r="O78" s="173">
        <f t="shared" si="8"/>
        <v>0</v>
      </c>
      <c r="P78" s="173">
        <f>P80+P81+P82</f>
        <v>0</v>
      </c>
      <c r="Q78" s="173">
        <f t="shared" ref="Q78:R78" si="183">Q80+Q81+Q82</f>
        <v>0</v>
      </c>
      <c r="R78" s="173">
        <f t="shared" si="183"/>
        <v>0</v>
      </c>
      <c r="S78" s="173">
        <f>S80+S81+S82</f>
        <v>0</v>
      </c>
      <c r="T78" s="173">
        <f t="shared" si="17"/>
        <v>0</v>
      </c>
      <c r="U78" s="173">
        <f>U80+U81+U82</f>
        <v>0</v>
      </c>
      <c r="V78" s="173">
        <f t="shared" ref="V78:X78" si="184">V80+V81+V82</f>
        <v>0</v>
      </c>
      <c r="W78" s="173">
        <f t="shared" si="184"/>
        <v>0</v>
      </c>
      <c r="X78" s="173">
        <f t="shared" si="184"/>
        <v>0</v>
      </c>
      <c r="Y78" s="173">
        <f t="shared" si="18"/>
        <v>1.5185449100000001</v>
      </c>
      <c r="Z78" s="173">
        <f>Z80+Z81+Z82</f>
        <v>0.25</v>
      </c>
      <c r="AA78" s="173">
        <f t="shared" ref="AA78:AC78" si="185">AA80+AA81+AA82</f>
        <v>0</v>
      </c>
      <c r="AB78" s="173">
        <f t="shared" si="185"/>
        <v>1.2685449100000001</v>
      </c>
      <c r="AC78" s="173">
        <f t="shared" si="185"/>
        <v>0</v>
      </c>
      <c r="AD78" s="172">
        <v>6.4691525423728802</v>
      </c>
      <c r="AE78" s="173">
        <f>AJ78+AO78+AT78+AY78</f>
        <v>6.1722983057288134</v>
      </c>
      <c r="AF78" s="173">
        <f t="shared" si="21"/>
        <v>0.63237288200000008</v>
      </c>
      <c r="AG78" s="173">
        <f t="shared" si="9"/>
        <v>0.52140423728813556</v>
      </c>
      <c r="AH78" s="173">
        <f t="shared" si="10"/>
        <v>5.0185211864406787</v>
      </c>
      <c r="AI78" s="173">
        <f t="shared" si="11"/>
        <v>0</v>
      </c>
      <c r="AJ78" s="173">
        <f t="shared" si="32"/>
        <v>0.39</v>
      </c>
      <c r="AK78" s="173">
        <f>AK80+AK81+AK82</f>
        <v>0.39</v>
      </c>
      <c r="AL78" s="173">
        <f t="shared" ref="AL78:AN78" si="186">AL80+AL81+AL82</f>
        <v>0</v>
      </c>
      <c r="AM78" s="173">
        <f t="shared" si="186"/>
        <v>0</v>
      </c>
      <c r="AN78" s="173">
        <f t="shared" si="186"/>
        <v>0</v>
      </c>
      <c r="AO78" s="173">
        <f t="shared" si="33"/>
        <v>0</v>
      </c>
      <c r="AP78" s="173">
        <f>AP80++AP81+AP82</f>
        <v>0</v>
      </c>
      <c r="AQ78" s="173">
        <f t="shared" ref="AQ78:AS78" si="187">AQ80++AQ81+AQ82</f>
        <v>0</v>
      </c>
      <c r="AR78" s="173">
        <f t="shared" si="187"/>
        <v>0</v>
      </c>
      <c r="AS78" s="173">
        <f t="shared" si="187"/>
        <v>0</v>
      </c>
      <c r="AT78" s="109">
        <f t="shared" si="34"/>
        <v>0</v>
      </c>
      <c r="AU78" s="114">
        <f>AU80+AU81+AU82</f>
        <v>0</v>
      </c>
      <c r="AV78" s="114">
        <f t="shared" ref="AV78:AX78" si="188">AV80+AV81+AV82</f>
        <v>0</v>
      </c>
      <c r="AW78" s="114">
        <f t="shared" si="188"/>
        <v>0</v>
      </c>
      <c r="AX78" s="114">
        <f t="shared" si="188"/>
        <v>0</v>
      </c>
      <c r="AY78" s="114">
        <f>SUM(AZ78:BC78)</f>
        <v>5.7822983057288138</v>
      </c>
      <c r="AZ78" s="114">
        <f>SUM(AZ79:AZ83)</f>
        <v>0.24237288200000001</v>
      </c>
      <c r="BA78" s="114">
        <f>BA80+BA81+BA82+BA83</f>
        <v>0.52140423728813556</v>
      </c>
      <c r="BB78" s="114">
        <f t="shared" ref="BB78:BC78" si="189">BB80+BB81+BB82+BB83</f>
        <v>5.0185211864406787</v>
      </c>
      <c r="BC78" s="114">
        <f t="shared" si="189"/>
        <v>0</v>
      </c>
    </row>
    <row r="79" spans="1:55" s="548" customFormat="1" ht="94.5">
      <c r="A79" s="242" t="s">
        <v>916</v>
      </c>
      <c r="B79" s="526" t="s">
        <v>918</v>
      </c>
      <c r="C79" s="204" t="s">
        <v>919</v>
      </c>
      <c r="D79" s="179">
        <f>'10'!G61</f>
        <v>0.61028050764625996</v>
      </c>
      <c r="E79" s="173">
        <f t="shared" ref="E79" si="190">J79+O79+T79+Y79</f>
        <v>0</v>
      </c>
      <c r="F79" s="173">
        <f t="shared" ref="F79" si="191">K79+P79+U79+Z79</f>
        <v>0</v>
      </c>
      <c r="G79" s="173">
        <f t="shared" ref="G79" si="192">L79+Q79+V79+AA79</f>
        <v>0</v>
      </c>
      <c r="H79" s="173">
        <f t="shared" ref="H79" si="193">M79+R79+W79+AB79</f>
        <v>0</v>
      </c>
      <c r="I79" s="173">
        <f t="shared" ref="I79" si="194">N79+S79+X79+AC79</f>
        <v>0</v>
      </c>
      <c r="J79" s="173">
        <f t="shared" ref="J79" si="195">SUM(K79:N79)</f>
        <v>0</v>
      </c>
      <c r="K79" s="174">
        <v>0</v>
      </c>
      <c r="L79" s="174">
        <v>0</v>
      </c>
      <c r="M79" s="174">
        <v>0</v>
      </c>
      <c r="N79" s="174">
        <v>0</v>
      </c>
      <c r="O79" s="173">
        <f t="shared" ref="O79" si="196">SUM(P79:S79)</f>
        <v>0</v>
      </c>
      <c r="P79" s="174">
        <v>0</v>
      </c>
      <c r="Q79" s="174">
        <v>0</v>
      </c>
      <c r="R79" s="174">
        <v>0</v>
      </c>
      <c r="S79" s="174">
        <v>0</v>
      </c>
      <c r="T79" s="173">
        <f t="shared" ref="T79" si="197">SUM(U79:X79)</f>
        <v>0</v>
      </c>
      <c r="U79" s="174">
        <v>0</v>
      </c>
      <c r="V79" s="174">
        <v>0</v>
      </c>
      <c r="W79" s="174">
        <v>0</v>
      </c>
      <c r="X79" s="174">
        <v>0</v>
      </c>
      <c r="Y79" s="173">
        <f t="shared" ref="Y79" si="198">SUM(Z79:AC79)</f>
        <v>0</v>
      </c>
      <c r="Z79" s="174">
        <v>0</v>
      </c>
      <c r="AA79" s="174">
        <v>0</v>
      </c>
      <c r="AB79" s="174">
        <v>0</v>
      </c>
      <c r="AC79" s="174">
        <v>0</v>
      </c>
      <c r="AD79" s="527">
        <f>'12'!H78</f>
        <v>0.51718687088666104</v>
      </c>
      <c r="AE79" s="173">
        <f t="shared" ref="AE79" si="199">AJ79+AO79+AT79+AY79</f>
        <v>0.24237288200000001</v>
      </c>
      <c r="AF79" s="173">
        <f t="shared" ref="AF79" si="200">AK79+AP79+AU79+AZ79</f>
        <v>0.24237288200000001</v>
      </c>
      <c r="AG79" s="173">
        <f t="shared" ref="AG79" si="201">AL79+AQ79+AV79+BA79</f>
        <v>0</v>
      </c>
      <c r="AH79" s="173">
        <f t="shared" ref="AH79" si="202">AM79+AR79+AW79+BB79</f>
        <v>0</v>
      </c>
      <c r="AI79" s="173">
        <f t="shared" ref="AI79" si="203">AN79+AS79+AX79+BC79</f>
        <v>0</v>
      </c>
      <c r="AJ79" s="173">
        <f t="shared" ref="AJ79" si="204">SUM(AK79:AN79)</f>
        <v>0</v>
      </c>
      <c r="AK79" s="174">
        <v>0</v>
      </c>
      <c r="AL79" s="174">
        <v>0</v>
      </c>
      <c r="AM79" s="174">
        <v>0</v>
      </c>
      <c r="AN79" s="174">
        <v>0</v>
      </c>
      <c r="AO79" s="173">
        <f t="shared" ref="AO79" si="205">SUM(AP79:AS79)</f>
        <v>0</v>
      </c>
      <c r="AP79" s="174">
        <v>0</v>
      </c>
      <c r="AQ79" s="174">
        <v>0</v>
      </c>
      <c r="AR79" s="174">
        <v>0</v>
      </c>
      <c r="AS79" s="174">
        <v>0</v>
      </c>
      <c r="AT79" s="109">
        <f t="shared" ref="AT79" si="206">SUM(AU79:AX79)</f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f>SUM(AZ79:BC79)</f>
        <v>0.24237288200000001</v>
      </c>
      <c r="AZ79" s="113">
        <f>0.242372882</f>
        <v>0.24237288200000001</v>
      </c>
      <c r="BA79" s="113">
        <v>0</v>
      </c>
      <c r="BB79" s="113">
        <v>0</v>
      </c>
      <c r="BC79" s="113">
        <v>0</v>
      </c>
    </row>
    <row r="80" spans="1:55" s="105" customFormat="1" ht="78.75">
      <c r="A80" s="242" t="s">
        <v>916</v>
      </c>
      <c r="B80" s="526" t="s">
        <v>920</v>
      </c>
      <c r="C80" s="204" t="s">
        <v>921</v>
      </c>
      <c r="D80" s="179">
        <f>'10'!G62</f>
        <v>0.48621249235553665</v>
      </c>
      <c r="E80" s="173">
        <f t="shared" si="20"/>
        <v>0.25</v>
      </c>
      <c r="F80" s="173">
        <f t="shared" si="4"/>
        <v>0.25</v>
      </c>
      <c r="G80" s="173">
        <f t="shared" si="5"/>
        <v>0</v>
      </c>
      <c r="H80" s="173">
        <f t="shared" si="6"/>
        <v>0</v>
      </c>
      <c r="I80" s="173">
        <f t="shared" si="7"/>
        <v>0</v>
      </c>
      <c r="J80" s="173">
        <f t="shared" si="16"/>
        <v>0</v>
      </c>
      <c r="K80" s="174">
        <v>0</v>
      </c>
      <c r="L80" s="174">
        <v>0</v>
      </c>
      <c r="M80" s="174">
        <v>0</v>
      </c>
      <c r="N80" s="174">
        <v>0</v>
      </c>
      <c r="O80" s="173">
        <f t="shared" si="8"/>
        <v>0</v>
      </c>
      <c r="P80" s="174">
        <v>0</v>
      </c>
      <c r="Q80" s="174">
        <v>0</v>
      </c>
      <c r="R80" s="174">
        <v>0</v>
      </c>
      <c r="S80" s="174">
        <v>0</v>
      </c>
      <c r="T80" s="173">
        <f t="shared" si="17"/>
        <v>0</v>
      </c>
      <c r="U80" s="174">
        <v>0</v>
      </c>
      <c r="V80" s="174">
        <v>0</v>
      </c>
      <c r="W80" s="174">
        <v>0</v>
      </c>
      <c r="X80" s="174">
        <v>0</v>
      </c>
      <c r="Y80" s="173">
        <f t="shared" si="18"/>
        <v>0.25</v>
      </c>
      <c r="Z80" s="174">
        <v>0.25</v>
      </c>
      <c r="AA80" s="174">
        <v>0</v>
      </c>
      <c r="AB80" s="174">
        <v>0</v>
      </c>
      <c r="AC80" s="174">
        <v>0</v>
      </c>
      <c r="AD80" s="527">
        <f>'12'!H79</f>
        <v>0.41204448504706498</v>
      </c>
      <c r="AE80" s="173">
        <f t="shared" si="31"/>
        <v>0.39</v>
      </c>
      <c r="AF80" s="173">
        <f t="shared" si="21"/>
        <v>0.39</v>
      </c>
      <c r="AG80" s="173">
        <f t="shared" si="9"/>
        <v>0</v>
      </c>
      <c r="AH80" s="173">
        <f t="shared" si="10"/>
        <v>0</v>
      </c>
      <c r="AI80" s="173">
        <f t="shared" si="11"/>
        <v>0</v>
      </c>
      <c r="AJ80" s="173">
        <f t="shared" si="32"/>
        <v>0.39</v>
      </c>
      <c r="AK80" s="174">
        <v>0.39</v>
      </c>
      <c r="AL80" s="174">
        <v>0</v>
      </c>
      <c r="AM80" s="174">
        <v>0</v>
      </c>
      <c r="AN80" s="174">
        <v>0</v>
      </c>
      <c r="AO80" s="173">
        <f t="shared" si="33"/>
        <v>0</v>
      </c>
      <c r="AP80" s="174">
        <v>0</v>
      </c>
      <c r="AQ80" s="174">
        <v>0</v>
      </c>
      <c r="AR80" s="174">
        <v>0</v>
      </c>
      <c r="AS80" s="174">
        <v>0</v>
      </c>
      <c r="AT80" s="109">
        <f t="shared" si="34"/>
        <v>0</v>
      </c>
      <c r="AU80" s="113">
        <v>0</v>
      </c>
      <c r="AV80" s="113">
        <v>0</v>
      </c>
      <c r="AW80" s="113">
        <v>0</v>
      </c>
      <c r="AX80" s="113">
        <v>0</v>
      </c>
      <c r="AY80" s="113">
        <f t="shared" ref="AY80:AY83" si="207">SUM(AZ80:BC80)</f>
        <v>0</v>
      </c>
      <c r="AZ80" s="113">
        <v>0</v>
      </c>
      <c r="BA80" s="113">
        <v>0</v>
      </c>
      <c r="BB80" s="113">
        <v>0</v>
      </c>
      <c r="BC80" s="113">
        <v>0</v>
      </c>
    </row>
    <row r="81" spans="1:55" s="105" customFormat="1" ht="63">
      <c r="A81" s="242" t="s">
        <v>916</v>
      </c>
      <c r="B81" s="526" t="s">
        <v>922</v>
      </c>
      <c r="C81" s="204" t="s">
        <v>923</v>
      </c>
      <c r="D81" s="179">
        <f>'10'!G63</f>
        <v>2.4927931801800001</v>
      </c>
      <c r="E81" s="173">
        <f t="shared" si="20"/>
        <v>0.80138018018000001</v>
      </c>
      <c r="F81" s="173">
        <f t="shared" si="4"/>
        <v>0.15138018017999999</v>
      </c>
      <c r="G81" s="173">
        <f t="shared" si="5"/>
        <v>0</v>
      </c>
      <c r="H81" s="173">
        <f t="shared" si="6"/>
        <v>0.65</v>
      </c>
      <c r="I81" s="173">
        <f t="shared" si="7"/>
        <v>0</v>
      </c>
      <c r="J81" s="173">
        <f t="shared" si="16"/>
        <v>0.15138018017999999</v>
      </c>
      <c r="K81" s="174">
        <f>'10'!J63</f>
        <v>0.15138018017999999</v>
      </c>
      <c r="L81" s="174">
        <v>0</v>
      </c>
      <c r="M81" s="174">
        <v>0</v>
      </c>
      <c r="N81" s="174">
        <v>0</v>
      </c>
      <c r="O81" s="173">
        <f t="shared" si="8"/>
        <v>0</v>
      </c>
      <c r="P81" s="174">
        <v>0</v>
      </c>
      <c r="Q81" s="174">
        <v>0</v>
      </c>
      <c r="R81" s="174">
        <v>0</v>
      </c>
      <c r="S81" s="174">
        <v>0</v>
      </c>
      <c r="T81" s="173">
        <f t="shared" si="17"/>
        <v>0</v>
      </c>
      <c r="U81" s="174">
        <v>0</v>
      </c>
      <c r="V81" s="174">
        <v>0</v>
      </c>
      <c r="W81" s="174">
        <v>0</v>
      </c>
      <c r="X81" s="174">
        <v>0</v>
      </c>
      <c r="Y81" s="173">
        <f t="shared" si="18"/>
        <v>0.65</v>
      </c>
      <c r="Z81" s="174">
        <v>0</v>
      </c>
      <c r="AA81" s="174">
        <v>0</v>
      </c>
      <c r="AB81" s="174">
        <f>(400000+250000)/1000000</f>
        <v>0.65</v>
      </c>
      <c r="AC81" s="174">
        <v>0</v>
      </c>
      <c r="AD81" s="527">
        <f>'12'!H80</f>
        <v>1.9842542400000001</v>
      </c>
      <c r="AE81" s="173">
        <f t="shared" si="31"/>
        <v>1.9842542372881358</v>
      </c>
      <c r="AF81" s="173">
        <f t="shared" si="21"/>
        <v>0</v>
      </c>
      <c r="AG81" s="173">
        <f t="shared" si="9"/>
        <v>0.22201525423728813</v>
      </c>
      <c r="AH81" s="173">
        <f t="shared" si="10"/>
        <v>1.7622389830508476</v>
      </c>
      <c r="AI81" s="173">
        <f t="shared" si="11"/>
        <v>0</v>
      </c>
      <c r="AJ81" s="173">
        <f t="shared" si="32"/>
        <v>0</v>
      </c>
      <c r="AK81" s="174">
        <v>0</v>
      </c>
      <c r="AL81" s="174">
        <f t="shared" ref="AL81:AN81" si="208">L81/1.18</f>
        <v>0</v>
      </c>
      <c r="AM81" s="174">
        <f t="shared" si="208"/>
        <v>0</v>
      </c>
      <c r="AN81" s="174">
        <f t="shared" si="208"/>
        <v>0</v>
      </c>
      <c r="AO81" s="173">
        <f t="shared" si="33"/>
        <v>0</v>
      </c>
      <c r="AP81" s="174">
        <f>P81/1.18</f>
        <v>0</v>
      </c>
      <c r="AQ81" s="174">
        <f t="shared" ref="AQ81:AS81" si="209">Q81/1.18</f>
        <v>0</v>
      </c>
      <c r="AR81" s="174">
        <f t="shared" si="209"/>
        <v>0</v>
      </c>
      <c r="AS81" s="174">
        <f t="shared" si="209"/>
        <v>0</v>
      </c>
      <c r="AT81" s="109">
        <f t="shared" si="34"/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f t="shared" si="207"/>
        <v>1.9842542372881358</v>
      </c>
      <c r="AZ81" s="113">
        <v>0</v>
      </c>
      <c r="BA81" s="113">
        <f>261978/1000000/1.18</f>
        <v>0.22201525423728813</v>
      </c>
      <c r="BB81" s="113">
        <f>2079.442/1.18/1000</f>
        <v>1.7622389830508476</v>
      </c>
      <c r="BC81" s="113">
        <v>0</v>
      </c>
    </row>
    <row r="82" spans="1:55" s="105" customFormat="1" ht="94.5">
      <c r="A82" s="242" t="s">
        <v>916</v>
      </c>
      <c r="B82" s="526" t="s">
        <v>1089</v>
      </c>
      <c r="C82" s="204" t="s">
        <v>924</v>
      </c>
      <c r="D82" s="179">
        <f>'10'!G64</f>
        <v>4.4643938198199997</v>
      </c>
      <c r="E82" s="173">
        <f t="shared" si="20"/>
        <v>0.88724472982000002</v>
      </c>
      <c r="F82" s="173">
        <f t="shared" si="4"/>
        <v>0.26869981982000002</v>
      </c>
      <c r="G82" s="173">
        <f t="shared" si="5"/>
        <v>0</v>
      </c>
      <c r="H82" s="173">
        <f t="shared" si="6"/>
        <v>0.61854491</v>
      </c>
      <c r="I82" s="173">
        <f t="shared" si="7"/>
        <v>0</v>
      </c>
      <c r="J82" s="173">
        <f t="shared" si="16"/>
        <v>0.26869981982000002</v>
      </c>
      <c r="K82" s="174">
        <f>'10'!J64</f>
        <v>0.26869981982000002</v>
      </c>
      <c r="L82" s="174">
        <v>0</v>
      </c>
      <c r="M82" s="174">
        <v>0</v>
      </c>
      <c r="N82" s="174">
        <v>0</v>
      </c>
      <c r="O82" s="173">
        <f t="shared" si="8"/>
        <v>0</v>
      </c>
      <c r="P82" s="174">
        <v>0</v>
      </c>
      <c r="Q82" s="174">
        <v>0</v>
      </c>
      <c r="R82" s="174">
        <v>0</v>
      </c>
      <c r="S82" s="174">
        <v>0</v>
      </c>
      <c r="T82" s="173">
        <f t="shared" si="17"/>
        <v>0</v>
      </c>
      <c r="U82" s="174">
        <v>0</v>
      </c>
      <c r="V82" s="174">
        <v>0</v>
      </c>
      <c r="W82" s="174">
        <v>0</v>
      </c>
      <c r="X82" s="174">
        <v>0</v>
      </c>
      <c r="Y82" s="173">
        <f t="shared" si="18"/>
        <v>0.61854491</v>
      </c>
      <c r="Z82" s="174">
        <v>0</v>
      </c>
      <c r="AA82" s="174">
        <v>0</v>
      </c>
      <c r="AB82" s="174">
        <f>618544.91/1000000</f>
        <v>0.61854491</v>
      </c>
      <c r="AC82" s="174">
        <v>0</v>
      </c>
      <c r="AD82" s="527">
        <f>'12'!H81</f>
        <v>3.5556728813559322</v>
      </c>
      <c r="AE82" s="173">
        <f t="shared" si="31"/>
        <v>3.5556711864406783</v>
      </c>
      <c r="AF82" s="173">
        <f t="shared" si="21"/>
        <v>0</v>
      </c>
      <c r="AG82" s="173">
        <f t="shared" si="9"/>
        <v>0.29938898305084749</v>
      </c>
      <c r="AH82" s="173">
        <f t="shared" si="10"/>
        <v>3.2562822033898309</v>
      </c>
      <c r="AI82" s="173">
        <f t="shared" si="11"/>
        <v>0</v>
      </c>
      <c r="AJ82" s="173">
        <f t="shared" si="32"/>
        <v>0</v>
      </c>
      <c r="AK82" s="174">
        <f>'12'!K81</f>
        <v>0</v>
      </c>
      <c r="AL82" s="174">
        <f>L82/1.18</f>
        <v>0</v>
      </c>
      <c r="AM82" s="174">
        <f>M82/1.18</f>
        <v>0</v>
      </c>
      <c r="AN82" s="174">
        <f>N82/1.18</f>
        <v>0</v>
      </c>
      <c r="AO82" s="173">
        <f>SUM(AP82:AS82)</f>
        <v>0</v>
      </c>
      <c r="AP82" s="174">
        <f>P82/1.18</f>
        <v>0</v>
      </c>
      <c r="AQ82" s="174">
        <f>Q82/1.18</f>
        <v>0</v>
      </c>
      <c r="AR82" s="174">
        <f>R82/1.18</f>
        <v>0</v>
      </c>
      <c r="AS82" s="174">
        <f>S82/1.18</f>
        <v>0</v>
      </c>
      <c r="AT82" s="109">
        <f t="shared" si="34"/>
        <v>0</v>
      </c>
      <c r="AU82" s="113">
        <f t="shared" ref="AU82:BC82" si="210">P82</f>
        <v>0</v>
      </c>
      <c r="AV82" s="113">
        <f t="shared" si="210"/>
        <v>0</v>
      </c>
      <c r="AW82" s="113">
        <f t="shared" si="210"/>
        <v>0</v>
      </c>
      <c r="AX82" s="113">
        <f t="shared" si="210"/>
        <v>0</v>
      </c>
      <c r="AY82" s="113">
        <f t="shared" si="207"/>
        <v>3.5556711864406783</v>
      </c>
      <c r="AZ82" s="113">
        <f t="shared" si="210"/>
        <v>0</v>
      </c>
      <c r="BA82" s="113">
        <f>353279/1.18/1000000</f>
        <v>0.29938898305084749</v>
      </c>
      <c r="BB82" s="113">
        <f>3842413/1.18/1000000</f>
        <v>3.2562822033898309</v>
      </c>
      <c r="BC82" s="113">
        <f t="shared" si="210"/>
        <v>0</v>
      </c>
    </row>
    <row r="83" spans="1:55" s="152" customFormat="1" ht="47.25">
      <c r="A83" s="242" t="s">
        <v>916</v>
      </c>
      <c r="B83" s="511" t="s">
        <v>1069</v>
      </c>
      <c r="C83" s="207" t="s">
        <v>1093</v>
      </c>
      <c r="D83" s="179">
        <f>'10'!G65</f>
        <v>0.69445557000000002</v>
      </c>
      <c r="E83" s="173">
        <f>J83+O83+T83+Y83</f>
        <v>0.69445599999999996</v>
      </c>
      <c r="F83" s="173">
        <f>K83+P83+U83+Z83</f>
        <v>0</v>
      </c>
      <c r="G83" s="173">
        <f>L83+Q83+V83+AA83</f>
        <v>0.214476</v>
      </c>
      <c r="H83" s="173">
        <f>M83+R83+W83+AB83</f>
        <v>0.47998000000000002</v>
      </c>
      <c r="I83" s="173">
        <f>N83+S83+X83+AC83</f>
        <v>0</v>
      </c>
      <c r="J83" s="173">
        <f>SUM(K83:N83)</f>
        <v>0.69445599999999996</v>
      </c>
      <c r="K83" s="174">
        <v>0</v>
      </c>
      <c r="L83" s="174">
        <f>214476/1000000</f>
        <v>0.214476</v>
      </c>
      <c r="M83" s="174">
        <f>479980/1000000</f>
        <v>0.47998000000000002</v>
      </c>
      <c r="N83" s="174">
        <v>0</v>
      </c>
      <c r="O83" s="173">
        <v>0</v>
      </c>
      <c r="P83" s="174">
        <v>0</v>
      </c>
      <c r="Q83" s="174">
        <v>0</v>
      </c>
      <c r="R83" s="174">
        <v>0</v>
      </c>
      <c r="S83" s="174">
        <v>0</v>
      </c>
      <c r="T83" s="173">
        <v>0</v>
      </c>
      <c r="U83" s="174">
        <v>0</v>
      </c>
      <c r="V83" s="174">
        <v>0</v>
      </c>
      <c r="W83" s="174">
        <v>0</v>
      </c>
      <c r="X83" s="174">
        <v>0</v>
      </c>
      <c r="Y83" s="173">
        <v>0</v>
      </c>
      <c r="Z83" s="174">
        <v>0</v>
      </c>
      <c r="AA83" s="174">
        <v>0</v>
      </c>
      <c r="AB83" s="174">
        <v>0</v>
      </c>
      <c r="AC83" s="174">
        <v>0</v>
      </c>
      <c r="AD83" s="527">
        <f>'12'!H82</f>
        <v>0</v>
      </c>
      <c r="AE83" s="173">
        <v>0</v>
      </c>
      <c r="AF83" s="173">
        <v>0</v>
      </c>
      <c r="AG83" s="173">
        <v>0</v>
      </c>
      <c r="AH83" s="173">
        <v>0</v>
      </c>
      <c r="AI83" s="173">
        <v>0</v>
      </c>
      <c r="AJ83" s="173">
        <v>0</v>
      </c>
      <c r="AK83" s="174">
        <v>0</v>
      </c>
      <c r="AL83" s="174">
        <v>0</v>
      </c>
      <c r="AM83" s="174">
        <v>0</v>
      </c>
      <c r="AN83" s="174">
        <v>0</v>
      </c>
      <c r="AO83" s="173">
        <v>0</v>
      </c>
      <c r="AP83" s="174">
        <v>0</v>
      </c>
      <c r="AQ83" s="174">
        <v>0</v>
      </c>
      <c r="AR83" s="174">
        <v>0</v>
      </c>
      <c r="AS83" s="174">
        <v>0</v>
      </c>
      <c r="AT83" s="109">
        <f t="shared" si="34"/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f t="shared" si="207"/>
        <v>0</v>
      </c>
      <c r="AZ83" s="113">
        <v>0</v>
      </c>
      <c r="BA83" s="113">
        <v>0</v>
      </c>
      <c r="BB83" s="113">
        <v>0</v>
      </c>
      <c r="BC83" s="113">
        <v>0</v>
      </c>
    </row>
    <row r="84" spans="1:55" s="105" customFormat="1" ht="47.25">
      <c r="A84" s="237" t="s">
        <v>925</v>
      </c>
      <c r="B84" s="200" t="s">
        <v>926</v>
      </c>
      <c r="C84" s="202" t="s">
        <v>876</v>
      </c>
      <c r="D84" s="179">
        <v>0</v>
      </c>
      <c r="E84" s="173">
        <f t="shared" si="20"/>
        <v>0</v>
      </c>
      <c r="F84" s="173">
        <f t="shared" si="4"/>
        <v>0</v>
      </c>
      <c r="G84" s="173">
        <f t="shared" si="5"/>
        <v>0</v>
      </c>
      <c r="H84" s="173">
        <f t="shared" si="6"/>
        <v>0</v>
      </c>
      <c r="I84" s="173">
        <f t="shared" si="7"/>
        <v>0</v>
      </c>
      <c r="J84" s="173">
        <f t="shared" si="16"/>
        <v>0</v>
      </c>
      <c r="K84" s="174">
        <v>0</v>
      </c>
      <c r="L84" s="174">
        <v>0</v>
      </c>
      <c r="M84" s="174">
        <v>0</v>
      </c>
      <c r="N84" s="174">
        <v>0</v>
      </c>
      <c r="O84" s="173">
        <f t="shared" si="8"/>
        <v>0</v>
      </c>
      <c r="P84" s="174">
        <v>0</v>
      </c>
      <c r="Q84" s="174">
        <v>0</v>
      </c>
      <c r="R84" s="174">
        <v>0</v>
      </c>
      <c r="S84" s="174">
        <v>0</v>
      </c>
      <c r="T84" s="173">
        <f t="shared" si="17"/>
        <v>0</v>
      </c>
      <c r="U84" s="174">
        <v>0</v>
      </c>
      <c r="V84" s="174">
        <v>0</v>
      </c>
      <c r="W84" s="174">
        <v>0</v>
      </c>
      <c r="X84" s="174">
        <v>0</v>
      </c>
      <c r="Y84" s="173">
        <f t="shared" si="18"/>
        <v>0</v>
      </c>
      <c r="Z84" s="174">
        <v>0</v>
      </c>
      <c r="AA84" s="174">
        <v>0</v>
      </c>
      <c r="AB84" s="174">
        <v>0</v>
      </c>
      <c r="AC84" s="174">
        <v>0</v>
      </c>
      <c r="AD84" s="527">
        <v>0</v>
      </c>
      <c r="AE84" s="173">
        <f t="shared" si="31"/>
        <v>0</v>
      </c>
      <c r="AF84" s="173">
        <f t="shared" si="21"/>
        <v>0</v>
      </c>
      <c r="AG84" s="173">
        <f t="shared" si="9"/>
        <v>0</v>
      </c>
      <c r="AH84" s="173">
        <f t="shared" si="10"/>
        <v>0</v>
      </c>
      <c r="AI84" s="173">
        <f t="shared" si="11"/>
        <v>0</v>
      </c>
      <c r="AJ84" s="173">
        <f t="shared" si="32"/>
        <v>0</v>
      </c>
      <c r="AK84" s="174">
        <v>0</v>
      </c>
      <c r="AL84" s="174">
        <v>0</v>
      </c>
      <c r="AM84" s="174">
        <v>0</v>
      </c>
      <c r="AN84" s="174">
        <v>0</v>
      </c>
      <c r="AO84" s="173">
        <f t="shared" si="33"/>
        <v>0</v>
      </c>
      <c r="AP84" s="174">
        <v>0</v>
      </c>
      <c r="AQ84" s="174">
        <v>0</v>
      </c>
      <c r="AR84" s="174">
        <v>0</v>
      </c>
      <c r="AS84" s="174">
        <v>0</v>
      </c>
      <c r="AT84" s="109">
        <f t="shared" si="34"/>
        <v>0</v>
      </c>
      <c r="AU84" s="113">
        <v>0</v>
      </c>
      <c r="AV84" s="113">
        <v>0</v>
      </c>
      <c r="AW84" s="113">
        <v>0</v>
      </c>
      <c r="AX84" s="113">
        <v>0</v>
      </c>
      <c r="AY84" s="113">
        <f t="shared" si="178"/>
        <v>0</v>
      </c>
      <c r="AZ84" s="113">
        <v>0</v>
      </c>
      <c r="BA84" s="113">
        <v>0</v>
      </c>
      <c r="BB84" s="113">
        <v>0</v>
      </c>
      <c r="BC84" s="113">
        <v>0</v>
      </c>
    </row>
    <row r="85" spans="1:55" s="105" customFormat="1" ht="47.25">
      <c r="A85" s="239" t="s">
        <v>842</v>
      </c>
      <c r="B85" s="200" t="s">
        <v>927</v>
      </c>
      <c r="C85" s="202" t="s">
        <v>876</v>
      </c>
      <c r="D85" s="179">
        <v>0</v>
      </c>
      <c r="E85" s="173">
        <f t="shared" si="20"/>
        <v>0</v>
      </c>
      <c r="F85" s="173">
        <f t="shared" si="4"/>
        <v>0</v>
      </c>
      <c r="G85" s="173">
        <f t="shared" si="5"/>
        <v>0</v>
      </c>
      <c r="H85" s="173">
        <f t="shared" si="6"/>
        <v>0</v>
      </c>
      <c r="I85" s="173">
        <f t="shared" si="7"/>
        <v>0</v>
      </c>
      <c r="J85" s="173">
        <f t="shared" si="16"/>
        <v>0</v>
      </c>
      <c r="K85" s="174">
        <f>K86+K87+K88+K89+K90+K91+K92+K93</f>
        <v>0</v>
      </c>
      <c r="L85" s="174">
        <f>L86+L87+L88+L89+L90+L91+L92+L93</f>
        <v>0</v>
      </c>
      <c r="M85" s="174">
        <f>M86+M87+M88+M89+M90+M91+M92+M93</f>
        <v>0</v>
      </c>
      <c r="N85" s="174">
        <f>N86+N87+N88+N89+N90+N91+N92+N93</f>
        <v>0</v>
      </c>
      <c r="O85" s="173">
        <f t="shared" si="8"/>
        <v>0</v>
      </c>
      <c r="P85" s="174">
        <f>P86+P87+P88+P89+P90+P91+P92+P93</f>
        <v>0</v>
      </c>
      <c r="Q85" s="174">
        <f>Q86+Q87+Q88+Q89+Q90+Q91+Q92+Q93</f>
        <v>0</v>
      </c>
      <c r="R85" s="174">
        <f>R86+R87+R88+R89+R90+R91+R92+R93</f>
        <v>0</v>
      </c>
      <c r="S85" s="174">
        <f>S86+S87+S88+S89+S90+S91+S92+S93</f>
        <v>0</v>
      </c>
      <c r="T85" s="173">
        <f t="shared" si="17"/>
        <v>0</v>
      </c>
      <c r="U85" s="174">
        <f>U86+U87+U88+U89+U90+U91+U92+U93</f>
        <v>0</v>
      </c>
      <c r="V85" s="174">
        <f>V86+V87+V88+V89+V90+V91+V92+V93</f>
        <v>0</v>
      </c>
      <c r="W85" s="174">
        <f>W86+W87+W88+W89+W90+W91+W92+W93</f>
        <v>0</v>
      </c>
      <c r="X85" s="174">
        <f>X86+X87+X88+X89+X90+X91+X92+X93</f>
        <v>0</v>
      </c>
      <c r="Y85" s="173">
        <f t="shared" si="18"/>
        <v>0</v>
      </c>
      <c r="Z85" s="174">
        <f>Z86+Z87+Z88+Z89+Z90+Z91+Z92+Z93</f>
        <v>0</v>
      </c>
      <c r="AA85" s="174">
        <f>AA86+AA87+AA88+AA89+AA90+AA91+AA92+AA93</f>
        <v>0</v>
      </c>
      <c r="AB85" s="174">
        <f>AB86+AB87+AB88+AB89+AB90+AB91+AB92+AB93</f>
        <v>0</v>
      </c>
      <c r="AC85" s="174">
        <f>AC86+AC87+AC88+AC89+AC90+AC91+AC92+AC93</f>
        <v>0</v>
      </c>
      <c r="AD85" s="527">
        <v>0</v>
      </c>
      <c r="AE85" s="173">
        <f t="shared" si="31"/>
        <v>0</v>
      </c>
      <c r="AF85" s="173">
        <f t="shared" si="21"/>
        <v>0</v>
      </c>
      <c r="AG85" s="173">
        <f t="shared" si="9"/>
        <v>0</v>
      </c>
      <c r="AH85" s="173">
        <f t="shared" si="10"/>
        <v>0</v>
      </c>
      <c r="AI85" s="173">
        <f t="shared" si="11"/>
        <v>0</v>
      </c>
      <c r="AJ85" s="173">
        <f t="shared" si="32"/>
        <v>0</v>
      </c>
      <c r="AK85" s="174">
        <f>AK86+AK87+AK88+AK89+AK90+AK91+AK92+AK93</f>
        <v>0</v>
      </c>
      <c r="AL85" s="174">
        <f>AL86+AL87+AL88+AL89+AL90+AL91+AL92+AL93</f>
        <v>0</v>
      </c>
      <c r="AM85" s="174">
        <f>AM86+AM87+AM88+AM89+AM90+AM91+AM92+AM93</f>
        <v>0</v>
      </c>
      <c r="AN85" s="174">
        <f>AN86+AN87+AN88+AN89+AN90+AN91+AN92+AN93</f>
        <v>0</v>
      </c>
      <c r="AO85" s="173">
        <f t="shared" si="33"/>
        <v>0</v>
      </c>
      <c r="AP85" s="174">
        <f>AP86+AP87+AP88+AP89+AP90+AP91+AP92+AP93</f>
        <v>0</v>
      </c>
      <c r="AQ85" s="174">
        <f>AQ86+AQ87+AQ88+AQ89+AQ90+AQ91+AQ92+AQ93</f>
        <v>0</v>
      </c>
      <c r="AR85" s="174">
        <f>AR86+AR87+AR88+AR89+AR90+AR91+AR92+AR93</f>
        <v>0</v>
      </c>
      <c r="AS85" s="174">
        <f>AS86+AS87+AS88+AS89+AS90+AS91+AS92+AS93</f>
        <v>0</v>
      </c>
      <c r="AT85" s="109">
        <f t="shared" si="34"/>
        <v>0</v>
      </c>
      <c r="AU85" s="113">
        <f>AU86+AU87+AU88+AU89+AU90+AU91+AU92+AU93</f>
        <v>0</v>
      </c>
      <c r="AV85" s="113">
        <f>AV86+AV87+AV88+AV89+AV90+AV91+AV92+AV93</f>
        <v>0</v>
      </c>
      <c r="AW85" s="113">
        <f>AW86+AW87+AW88+AW89+AW90+AW91+AW92+AW93</f>
        <v>0</v>
      </c>
      <c r="AX85" s="113">
        <f>AX86+AX87+AX88+AX89+AX90+AX91+AX92+AX93</f>
        <v>0</v>
      </c>
      <c r="AY85" s="113">
        <f t="shared" si="178"/>
        <v>0</v>
      </c>
      <c r="AZ85" s="113">
        <f>AZ86+AZ87+AZ88+AZ89+AZ90+AZ91+AZ92+AZ93</f>
        <v>0</v>
      </c>
      <c r="BA85" s="113">
        <f>BA86+BA87+BA88+BA89+BA90+BA91+BA92+BA93</f>
        <v>0</v>
      </c>
      <c r="BB85" s="113">
        <f>BB86+BB87+BB88+BB89+BB90+BB91+BB92+BB93</f>
        <v>0</v>
      </c>
      <c r="BC85" s="113">
        <f>BC86+BC87+BC88+BC89+BC90+BC91+BC92+BC93</f>
        <v>0</v>
      </c>
    </row>
    <row r="86" spans="1:55" s="105" customFormat="1" ht="47.25">
      <c r="A86" s="237" t="s">
        <v>436</v>
      </c>
      <c r="B86" s="200" t="s">
        <v>928</v>
      </c>
      <c r="C86" s="202" t="s">
        <v>876</v>
      </c>
      <c r="D86" s="179">
        <v>0</v>
      </c>
      <c r="E86" s="173">
        <f t="shared" si="20"/>
        <v>0</v>
      </c>
      <c r="F86" s="173">
        <f t="shared" si="4"/>
        <v>0</v>
      </c>
      <c r="G86" s="173">
        <f t="shared" si="5"/>
        <v>0</v>
      </c>
      <c r="H86" s="173">
        <f t="shared" si="6"/>
        <v>0</v>
      </c>
      <c r="I86" s="173">
        <f t="shared" si="7"/>
        <v>0</v>
      </c>
      <c r="J86" s="173">
        <f t="shared" si="16"/>
        <v>0</v>
      </c>
      <c r="K86" s="174">
        <v>0</v>
      </c>
      <c r="L86" s="174">
        <v>0</v>
      </c>
      <c r="M86" s="174">
        <v>0</v>
      </c>
      <c r="N86" s="174">
        <v>0</v>
      </c>
      <c r="O86" s="173">
        <f t="shared" si="8"/>
        <v>0</v>
      </c>
      <c r="P86" s="174">
        <v>0</v>
      </c>
      <c r="Q86" s="174">
        <v>0</v>
      </c>
      <c r="R86" s="174">
        <v>0</v>
      </c>
      <c r="S86" s="174">
        <v>0</v>
      </c>
      <c r="T86" s="173">
        <f t="shared" si="17"/>
        <v>0</v>
      </c>
      <c r="U86" s="174">
        <v>0</v>
      </c>
      <c r="V86" s="174">
        <v>0</v>
      </c>
      <c r="W86" s="174">
        <v>0</v>
      </c>
      <c r="X86" s="174">
        <v>0</v>
      </c>
      <c r="Y86" s="173">
        <f t="shared" si="18"/>
        <v>0</v>
      </c>
      <c r="Z86" s="174">
        <v>0</v>
      </c>
      <c r="AA86" s="174">
        <v>0</v>
      </c>
      <c r="AB86" s="174">
        <v>0</v>
      </c>
      <c r="AC86" s="174">
        <v>0</v>
      </c>
      <c r="AD86" s="527">
        <v>0</v>
      </c>
      <c r="AE86" s="173">
        <f t="shared" si="31"/>
        <v>0</v>
      </c>
      <c r="AF86" s="173">
        <f t="shared" si="21"/>
        <v>0</v>
      </c>
      <c r="AG86" s="173">
        <f t="shared" si="9"/>
        <v>0</v>
      </c>
      <c r="AH86" s="173">
        <f t="shared" si="10"/>
        <v>0</v>
      </c>
      <c r="AI86" s="173">
        <f t="shared" si="11"/>
        <v>0</v>
      </c>
      <c r="AJ86" s="173">
        <f t="shared" si="32"/>
        <v>0</v>
      </c>
      <c r="AK86" s="174">
        <v>0</v>
      </c>
      <c r="AL86" s="174">
        <v>0</v>
      </c>
      <c r="AM86" s="174">
        <v>0</v>
      </c>
      <c r="AN86" s="174">
        <v>0</v>
      </c>
      <c r="AO86" s="174">
        <v>0</v>
      </c>
      <c r="AP86" s="174">
        <v>0</v>
      </c>
      <c r="AQ86" s="174">
        <v>0</v>
      </c>
      <c r="AR86" s="174">
        <v>0</v>
      </c>
      <c r="AS86" s="174">
        <v>0</v>
      </c>
      <c r="AT86" s="109">
        <f t="shared" si="34"/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  <c r="AZ86" s="113">
        <v>0</v>
      </c>
      <c r="BA86" s="113">
        <v>0</v>
      </c>
      <c r="BB86" s="113">
        <v>0</v>
      </c>
      <c r="BC86" s="113">
        <v>0</v>
      </c>
    </row>
    <row r="87" spans="1:55" s="105" customFormat="1" ht="47.25">
      <c r="A87" s="237" t="s">
        <v>440</v>
      </c>
      <c r="B87" s="200" t="s">
        <v>929</v>
      </c>
      <c r="C87" s="202" t="s">
        <v>876</v>
      </c>
      <c r="D87" s="177">
        <v>0</v>
      </c>
      <c r="E87" s="173">
        <f t="shared" si="20"/>
        <v>0</v>
      </c>
      <c r="F87" s="173">
        <f t="shared" si="4"/>
        <v>0</v>
      </c>
      <c r="G87" s="173">
        <f t="shared" si="5"/>
        <v>0</v>
      </c>
      <c r="H87" s="173">
        <f t="shared" si="6"/>
        <v>0</v>
      </c>
      <c r="I87" s="173">
        <f t="shared" si="7"/>
        <v>0</v>
      </c>
      <c r="J87" s="173">
        <f t="shared" si="16"/>
        <v>0</v>
      </c>
      <c r="K87" s="174">
        <v>0</v>
      </c>
      <c r="L87" s="174">
        <v>0</v>
      </c>
      <c r="M87" s="174">
        <v>0</v>
      </c>
      <c r="N87" s="174">
        <v>0</v>
      </c>
      <c r="O87" s="173">
        <f t="shared" si="8"/>
        <v>0</v>
      </c>
      <c r="P87" s="174">
        <v>0</v>
      </c>
      <c r="Q87" s="174">
        <v>0</v>
      </c>
      <c r="R87" s="174">
        <v>0</v>
      </c>
      <c r="S87" s="174">
        <v>0</v>
      </c>
      <c r="T87" s="173">
        <f t="shared" si="17"/>
        <v>0</v>
      </c>
      <c r="U87" s="174">
        <v>0</v>
      </c>
      <c r="V87" s="174">
        <v>0</v>
      </c>
      <c r="W87" s="174">
        <v>0</v>
      </c>
      <c r="X87" s="174">
        <v>0</v>
      </c>
      <c r="Y87" s="173">
        <f t="shared" si="18"/>
        <v>0</v>
      </c>
      <c r="Z87" s="174">
        <v>0</v>
      </c>
      <c r="AA87" s="174">
        <v>0</v>
      </c>
      <c r="AB87" s="174">
        <v>0</v>
      </c>
      <c r="AC87" s="174">
        <v>0</v>
      </c>
      <c r="AD87" s="527">
        <v>0</v>
      </c>
      <c r="AE87" s="173">
        <f t="shared" si="31"/>
        <v>0</v>
      </c>
      <c r="AF87" s="173">
        <f t="shared" si="21"/>
        <v>0</v>
      </c>
      <c r="AG87" s="173">
        <f t="shared" si="9"/>
        <v>0</v>
      </c>
      <c r="AH87" s="173">
        <f t="shared" si="10"/>
        <v>0</v>
      </c>
      <c r="AI87" s="173">
        <f t="shared" si="11"/>
        <v>0</v>
      </c>
      <c r="AJ87" s="173">
        <f t="shared" si="32"/>
        <v>0</v>
      </c>
      <c r="AK87" s="174">
        <v>0</v>
      </c>
      <c r="AL87" s="174">
        <v>0</v>
      </c>
      <c r="AM87" s="174">
        <v>0</v>
      </c>
      <c r="AN87" s="174">
        <v>0</v>
      </c>
      <c r="AO87" s="173">
        <f t="shared" si="33"/>
        <v>0</v>
      </c>
      <c r="AP87" s="174">
        <v>0</v>
      </c>
      <c r="AQ87" s="174">
        <v>0</v>
      </c>
      <c r="AR87" s="174">
        <v>0</v>
      </c>
      <c r="AS87" s="174">
        <v>0</v>
      </c>
      <c r="AT87" s="109">
        <f t="shared" si="34"/>
        <v>0</v>
      </c>
      <c r="AU87" s="113">
        <v>0</v>
      </c>
      <c r="AV87" s="113">
        <v>0</v>
      </c>
      <c r="AW87" s="113">
        <v>0</v>
      </c>
      <c r="AX87" s="113">
        <v>0</v>
      </c>
      <c r="AY87" s="114">
        <f t="shared" si="178"/>
        <v>0</v>
      </c>
      <c r="AZ87" s="114">
        <v>0</v>
      </c>
      <c r="BA87" s="114">
        <v>0</v>
      </c>
      <c r="BB87" s="114">
        <v>0</v>
      </c>
      <c r="BC87" s="114">
        <v>0</v>
      </c>
    </row>
    <row r="88" spans="1:55" s="105" customFormat="1" ht="47.25">
      <c r="A88" s="237" t="s">
        <v>441</v>
      </c>
      <c r="B88" s="200" t="s">
        <v>930</v>
      </c>
      <c r="C88" s="202" t="s">
        <v>876</v>
      </c>
      <c r="D88" s="177">
        <v>0</v>
      </c>
      <c r="E88" s="173">
        <f t="shared" si="20"/>
        <v>0</v>
      </c>
      <c r="F88" s="173">
        <f t="shared" si="4"/>
        <v>0</v>
      </c>
      <c r="G88" s="173">
        <f t="shared" si="5"/>
        <v>0</v>
      </c>
      <c r="H88" s="173">
        <f t="shared" si="6"/>
        <v>0</v>
      </c>
      <c r="I88" s="173">
        <f t="shared" si="7"/>
        <v>0</v>
      </c>
      <c r="J88" s="173">
        <f t="shared" si="16"/>
        <v>0</v>
      </c>
      <c r="K88" s="174">
        <v>0</v>
      </c>
      <c r="L88" s="174">
        <v>0</v>
      </c>
      <c r="M88" s="174">
        <v>0</v>
      </c>
      <c r="N88" s="174">
        <v>0</v>
      </c>
      <c r="O88" s="173">
        <f t="shared" si="8"/>
        <v>0</v>
      </c>
      <c r="P88" s="174">
        <v>0</v>
      </c>
      <c r="Q88" s="174">
        <v>0</v>
      </c>
      <c r="R88" s="174">
        <v>0</v>
      </c>
      <c r="S88" s="174">
        <v>0</v>
      </c>
      <c r="T88" s="173">
        <f t="shared" si="17"/>
        <v>0</v>
      </c>
      <c r="U88" s="174">
        <v>0</v>
      </c>
      <c r="V88" s="174">
        <v>0</v>
      </c>
      <c r="W88" s="174">
        <v>0</v>
      </c>
      <c r="X88" s="174">
        <v>0</v>
      </c>
      <c r="Y88" s="173">
        <f t="shared" si="18"/>
        <v>0</v>
      </c>
      <c r="Z88" s="174">
        <v>0</v>
      </c>
      <c r="AA88" s="174">
        <v>0</v>
      </c>
      <c r="AB88" s="174">
        <v>0</v>
      </c>
      <c r="AC88" s="174">
        <v>0</v>
      </c>
      <c r="AD88" s="527">
        <v>0</v>
      </c>
      <c r="AE88" s="173">
        <f t="shared" si="31"/>
        <v>0</v>
      </c>
      <c r="AF88" s="173">
        <f t="shared" si="21"/>
        <v>0</v>
      </c>
      <c r="AG88" s="173">
        <f t="shared" si="9"/>
        <v>0</v>
      </c>
      <c r="AH88" s="173">
        <f t="shared" si="10"/>
        <v>0</v>
      </c>
      <c r="AI88" s="173">
        <f t="shared" si="11"/>
        <v>0</v>
      </c>
      <c r="AJ88" s="173">
        <f t="shared" si="32"/>
        <v>0</v>
      </c>
      <c r="AK88" s="174">
        <v>0</v>
      </c>
      <c r="AL88" s="174">
        <v>0</v>
      </c>
      <c r="AM88" s="174">
        <v>0</v>
      </c>
      <c r="AN88" s="174">
        <v>0</v>
      </c>
      <c r="AO88" s="173">
        <f t="shared" si="33"/>
        <v>0</v>
      </c>
      <c r="AP88" s="174">
        <v>0</v>
      </c>
      <c r="AQ88" s="174">
        <v>0</v>
      </c>
      <c r="AR88" s="174">
        <v>0</v>
      </c>
      <c r="AS88" s="174">
        <v>0</v>
      </c>
      <c r="AT88" s="109">
        <f t="shared" si="34"/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f t="shared" si="178"/>
        <v>0</v>
      </c>
      <c r="AZ88" s="113">
        <v>0</v>
      </c>
      <c r="BA88" s="113">
        <v>0</v>
      </c>
      <c r="BB88" s="113">
        <v>0</v>
      </c>
      <c r="BC88" s="113">
        <v>0</v>
      </c>
    </row>
    <row r="89" spans="1:55" s="105" customFormat="1" ht="47.25">
      <c r="A89" s="237" t="s">
        <v>442</v>
      </c>
      <c r="B89" s="200" t="s">
        <v>931</v>
      </c>
      <c r="C89" s="202" t="s">
        <v>876</v>
      </c>
      <c r="D89" s="177">
        <v>0</v>
      </c>
      <c r="E89" s="173">
        <f t="shared" si="20"/>
        <v>0</v>
      </c>
      <c r="F89" s="173">
        <f t="shared" si="4"/>
        <v>0</v>
      </c>
      <c r="G89" s="173">
        <f t="shared" si="5"/>
        <v>0</v>
      </c>
      <c r="H89" s="173">
        <f t="shared" si="6"/>
        <v>0</v>
      </c>
      <c r="I89" s="173">
        <f t="shared" si="7"/>
        <v>0</v>
      </c>
      <c r="J89" s="173">
        <f t="shared" si="16"/>
        <v>0</v>
      </c>
      <c r="K89" s="174">
        <v>0</v>
      </c>
      <c r="L89" s="174">
        <v>0</v>
      </c>
      <c r="M89" s="174">
        <v>0</v>
      </c>
      <c r="N89" s="174">
        <v>0</v>
      </c>
      <c r="O89" s="173">
        <f t="shared" si="8"/>
        <v>0</v>
      </c>
      <c r="P89" s="174">
        <v>0</v>
      </c>
      <c r="Q89" s="174">
        <v>0</v>
      </c>
      <c r="R89" s="174">
        <v>0</v>
      </c>
      <c r="S89" s="174">
        <v>0</v>
      </c>
      <c r="T89" s="173">
        <f t="shared" si="17"/>
        <v>0</v>
      </c>
      <c r="U89" s="174">
        <v>0</v>
      </c>
      <c r="V89" s="174">
        <v>0</v>
      </c>
      <c r="W89" s="174">
        <v>0</v>
      </c>
      <c r="X89" s="174">
        <v>0</v>
      </c>
      <c r="Y89" s="173">
        <f t="shared" si="18"/>
        <v>0</v>
      </c>
      <c r="Z89" s="174">
        <v>0</v>
      </c>
      <c r="AA89" s="174">
        <v>0</v>
      </c>
      <c r="AB89" s="174">
        <v>0</v>
      </c>
      <c r="AC89" s="174">
        <v>0</v>
      </c>
      <c r="AD89" s="527">
        <v>0</v>
      </c>
      <c r="AE89" s="173">
        <f t="shared" si="31"/>
        <v>0</v>
      </c>
      <c r="AF89" s="173">
        <f t="shared" si="21"/>
        <v>0</v>
      </c>
      <c r="AG89" s="173">
        <f t="shared" si="9"/>
        <v>0</v>
      </c>
      <c r="AH89" s="173">
        <f t="shared" si="10"/>
        <v>0</v>
      </c>
      <c r="AI89" s="173">
        <f t="shared" si="11"/>
        <v>0</v>
      </c>
      <c r="AJ89" s="173">
        <f t="shared" si="32"/>
        <v>0</v>
      </c>
      <c r="AK89" s="174">
        <v>0</v>
      </c>
      <c r="AL89" s="174">
        <v>0</v>
      </c>
      <c r="AM89" s="174">
        <v>0</v>
      </c>
      <c r="AN89" s="174">
        <v>0</v>
      </c>
      <c r="AO89" s="173">
        <f t="shared" si="33"/>
        <v>0</v>
      </c>
      <c r="AP89" s="174">
        <v>0</v>
      </c>
      <c r="AQ89" s="174">
        <v>0</v>
      </c>
      <c r="AR89" s="174">
        <v>0</v>
      </c>
      <c r="AS89" s="174">
        <v>0</v>
      </c>
      <c r="AT89" s="109">
        <f t="shared" si="34"/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f t="shared" si="178"/>
        <v>0</v>
      </c>
      <c r="AZ89" s="113">
        <v>0</v>
      </c>
      <c r="BA89" s="113">
        <v>0</v>
      </c>
      <c r="BB89" s="113">
        <v>0</v>
      </c>
      <c r="BC89" s="113">
        <v>0</v>
      </c>
    </row>
    <row r="90" spans="1:55" s="105" customFormat="1" ht="63">
      <c r="A90" s="237" t="s">
        <v>443</v>
      </c>
      <c r="B90" s="200" t="s">
        <v>932</v>
      </c>
      <c r="C90" s="202" t="s">
        <v>876</v>
      </c>
      <c r="D90" s="177">
        <v>0</v>
      </c>
      <c r="E90" s="173">
        <f t="shared" si="20"/>
        <v>0</v>
      </c>
      <c r="F90" s="173">
        <f t="shared" si="4"/>
        <v>0</v>
      </c>
      <c r="G90" s="173">
        <f t="shared" si="5"/>
        <v>0</v>
      </c>
      <c r="H90" s="173">
        <f t="shared" si="6"/>
        <v>0</v>
      </c>
      <c r="I90" s="173">
        <f t="shared" si="7"/>
        <v>0</v>
      </c>
      <c r="J90" s="173">
        <f t="shared" si="16"/>
        <v>0</v>
      </c>
      <c r="K90" s="174">
        <v>0</v>
      </c>
      <c r="L90" s="174">
        <v>0</v>
      </c>
      <c r="M90" s="174">
        <v>0</v>
      </c>
      <c r="N90" s="174">
        <v>0</v>
      </c>
      <c r="O90" s="173">
        <f t="shared" si="8"/>
        <v>0</v>
      </c>
      <c r="P90" s="174">
        <v>0</v>
      </c>
      <c r="Q90" s="174">
        <v>0</v>
      </c>
      <c r="R90" s="174">
        <v>0</v>
      </c>
      <c r="S90" s="174">
        <v>0</v>
      </c>
      <c r="T90" s="173">
        <f t="shared" si="17"/>
        <v>0</v>
      </c>
      <c r="U90" s="174">
        <v>0</v>
      </c>
      <c r="V90" s="174">
        <v>0</v>
      </c>
      <c r="W90" s="174">
        <v>0</v>
      </c>
      <c r="X90" s="174">
        <v>0</v>
      </c>
      <c r="Y90" s="173">
        <f t="shared" si="18"/>
        <v>0</v>
      </c>
      <c r="Z90" s="174">
        <v>0</v>
      </c>
      <c r="AA90" s="174">
        <v>0</v>
      </c>
      <c r="AB90" s="174">
        <v>0</v>
      </c>
      <c r="AC90" s="174">
        <v>0</v>
      </c>
      <c r="AD90" s="527">
        <v>0</v>
      </c>
      <c r="AE90" s="173">
        <f t="shared" si="31"/>
        <v>0</v>
      </c>
      <c r="AF90" s="173">
        <f t="shared" si="21"/>
        <v>0</v>
      </c>
      <c r="AG90" s="173">
        <f t="shared" si="9"/>
        <v>0</v>
      </c>
      <c r="AH90" s="173">
        <f t="shared" si="10"/>
        <v>0</v>
      </c>
      <c r="AI90" s="173">
        <f t="shared" si="11"/>
        <v>0</v>
      </c>
      <c r="AJ90" s="173">
        <f t="shared" si="32"/>
        <v>0</v>
      </c>
      <c r="AK90" s="174">
        <v>0</v>
      </c>
      <c r="AL90" s="174">
        <v>0</v>
      </c>
      <c r="AM90" s="174">
        <v>0</v>
      </c>
      <c r="AN90" s="174">
        <v>0</v>
      </c>
      <c r="AO90" s="173">
        <f t="shared" si="33"/>
        <v>0</v>
      </c>
      <c r="AP90" s="174">
        <v>0</v>
      </c>
      <c r="AQ90" s="174">
        <v>0</v>
      </c>
      <c r="AR90" s="174">
        <v>0</v>
      </c>
      <c r="AS90" s="174">
        <v>0</v>
      </c>
      <c r="AT90" s="109">
        <f t="shared" si="34"/>
        <v>0</v>
      </c>
      <c r="AU90" s="113">
        <v>0</v>
      </c>
      <c r="AV90" s="113">
        <v>0</v>
      </c>
      <c r="AW90" s="113">
        <v>0</v>
      </c>
      <c r="AX90" s="113">
        <v>0</v>
      </c>
      <c r="AY90" s="113">
        <f t="shared" si="178"/>
        <v>0</v>
      </c>
      <c r="AZ90" s="113">
        <v>0</v>
      </c>
      <c r="BA90" s="113">
        <v>0</v>
      </c>
      <c r="BB90" s="113">
        <v>0</v>
      </c>
      <c r="BC90" s="113">
        <v>0</v>
      </c>
    </row>
    <row r="91" spans="1:55" s="105" customFormat="1" ht="63">
      <c r="A91" s="237" t="s">
        <v>444</v>
      </c>
      <c r="B91" s="200" t="s">
        <v>933</v>
      </c>
      <c r="C91" s="202" t="s">
        <v>876</v>
      </c>
      <c r="D91" s="177">
        <v>0</v>
      </c>
      <c r="E91" s="173">
        <f t="shared" si="20"/>
        <v>0</v>
      </c>
      <c r="F91" s="173">
        <f t="shared" si="4"/>
        <v>0</v>
      </c>
      <c r="G91" s="173">
        <f t="shared" si="5"/>
        <v>0</v>
      </c>
      <c r="H91" s="173">
        <f t="shared" si="6"/>
        <v>0</v>
      </c>
      <c r="I91" s="173">
        <f t="shared" si="7"/>
        <v>0</v>
      </c>
      <c r="J91" s="173">
        <f t="shared" si="16"/>
        <v>0</v>
      </c>
      <c r="K91" s="174">
        <v>0</v>
      </c>
      <c r="L91" s="174">
        <v>0</v>
      </c>
      <c r="M91" s="174">
        <v>0</v>
      </c>
      <c r="N91" s="174">
        <v>0</v>
      </c>
      <c r="O91" s="173">
        <f t="shared" si="8"/>
        <v>0</v>
      </c>
      <c r="P91" s="174">
        <v>0</v>
      </c>
      <c r="Q91" s="174">
        <v>0</v>
      </c>
      <c r="R91" s="174">
        <v>0</v>
      </c>
      <c r="S91" s="174">
        <v>0</v>
      </c>
      <c r="T91" s="173">
        <f t="shared" si="17"/>
        <v>0</v>
      </c>
      <c r="U91" s="174">
        <v>0</v>
      </c>
      <c r="V91" s="174">
        <v>0</v>
      </c>
      <c r="W91" s="174">
        <v>0</v>
      </c>
      <c r="X91" s="174">
        <v>0</v>
      </c>
      <c r="Y91" s="173">
        <f t="shared" si="18"/>
        <v>0</v>
      </c>
      <c r="Z91" s="174">
        <v>0</v>
      </c>
      <c r="AA91" s="174">
        <v>0</v>
      </c>
      <c r="AB91" s="174">
        <v>0</v>
      </c>
      <c r="AC91" s="174">
        <v>0</v>
      </c>
      <c r="AD91" s="527">
        <v>0</v>
      </c>
      <c r="AE91" s="173">
        <f t="shared" si="31"/>
        <v>0</v>
      </c>
      <c r="AF91" s="173">
        <f t="shared" si="21"/>
        <v>0</v>
      </c>
      <c r="AG91" s="173">
        <f t="shared" si="9"/>
        <v>0</v>
      </c>
      <c r="AH91" s="173">
        <f t="shared" si="10"/>
        <v>0</v>
      </c>
      <c r="AI91" s="173">
        <f t="shared" si="11"/>
        <v>0</v>
      </c>
      <c r="AJ91" s="173">
        <f t="shared" si="32"/>
        <v>0</v>
      </c>
      <c r="AK91" s="174">
        <v>0</v>
      </c>
      <c r="AL91" s="174">
        <v>0</v>
      </c>
      <c r="AM91" s="174">
        <v>0</v>
      </c>
      <c r="AN91" s="174">
        <v>0</v>
      </c>
      <c r="AO91" s="173">
        <f t="shared" si="33"/>
        <v>0</v>
      </c>
      <c r="AP91" s="174">
        <v>0</v>
      </c>
      <c r="AQ91" s="174">
        <v>0</v>
      </c>
      <c r="AR91" s="174">
        <v>0</v>
      </c>
      <c r="AS91" s="174">
        <v>0</v>
      </c>
      <c r="AT91" s="109">
        <f t="shared" si="34"/>
        <v>0</v>
      </c>
      <c r="AU91" s="113">
        <v>0</v>
      </c>
      <c r="AV91" s="113">
        <v>0</v>
      </c>
      <c r="AW91" s="113">
        <v>0</v>
      </c>
      <c r="AX91" s="113">
        <v>0</v>
      </c>
      <c r="AY91" s="113">
        <f>SUM(AZ91:BC91)</f>
        <v>0</v>
      </c>
      <c r="AZ91" s="113">
        <v>0</v>
      </c>
      <c r="BA91" s="113">
        <v>0</v>
      </c>
      <c r="BB91" s="113">
        <v>0</v>
      </c>
      <c r="BC91" s="113">
        <v>0</v>
      </c>
    </row>
    <row r="92" spans="1:55" s="105" customFormat="1" ht="63">
      <c r="A92" s="237" t="s">
        <v>445</v>
      </c>
      <c r="B92" s="200" t="s">
        <v>934</v>
      </c>
      <c r="C92" s="202" t="s">
        <v>876</v>
      </c>
      <c r="D92" s="177">
        <v>0</v>
      </c>
      <c r="E92" s="173">
        <f t="shared" si="20"/>
        <v>0</v>
      </c>
      <c r="F92" s="173">
        <f t="shared" si="4"/>
        <v>0</v>
      </c>
      <c r="G92" s="173">
        <f t="shared" si="5"/>
        <v>0</v>
      </c>
      <c r="H92" s="173">
        <f t="shared" si="6"/>
        <v>0</v>
      </c>
      <c r="I92" s="173">
        <f t="shared" si="7"/>
        <v>0</v>
      </c>
      <c r="J92" s="173">
        <f t="shared" si="16"/>
        <v>0</v>
      </c>
      <c r="K92" s="174">
        <v>0</v>
      </c>
      <c r="L92" s="174">
        <v>0</v>
      </c>
      <c r="M92" s="174">
        <v>0</v>
      </c>
      <c r="N92" s="174">
        <v>0</v>
      </c>
      <c r="O92" s="173">
        <f t="shared" si="8"/>
        <v>0</v>
      </c>
      <c r="P92" s="174">
        <v>0</v>
      </c>
      <c r="Q92" s="174">
        <v>0</v>
      </c>
      <c r="R92" s="174">
        <v>0</v>
      </c>
      <c r="S92" s="174">
        <v>0</v>
      </c>
      <c r="T92" s="173">
        <f t="shared" si="17"/>
        <v>0</v>
      </c>
      <c r="U92" s="174">
        <v>0</v>
      </c>
      <c r="V92" s="174">
        <v>0</v>
      </c>
      <c r="W92" s="174">
        <v>0</v>
      </c>
      <c r="X92" s="174">
        <v>0</v>
      </c>
      <c r="Y92" s="173">
        <f t="shared" si="18"/>
        <v>0</v>
      </c>
      <c r="Z92" s="174">
        <v>0</v>
      </c>
      <c r="AA92" s="174">
        <v>0</v>
      </c>
      <c r="AB92" s="174">
        <v>0</v>
      </c>
      <c r="AC92" s="174">
        <v>0</v>
      </c>
      <c r="AD92" s="527">
        <v>0</v>
      </c>
      <c r="AE92" s="173">
        <f t="shared" si="31"/>
        <v>0</v>
      </c>
      <c r="AF92" s="173">
        <f t="shared" si="21"/>
        <v>0</v>
      </c>
      <c r="AG92" s="173">
        <f t="shared" si="9"/>
        <v>0</v>
      </c>
      <c r="AH92" s="173">
        <f t="shared" si="10"/>
        <v>0</v>
      </c>
      <c r="AI92" s="173">
        <f t="shared" si="11"/>
        <v>0</v>
      </c>
      <c r="AJ92" s="173">
        <f t="shared" si="32"/>
        <v>0</v>
      </c>
      <c r="AK92" s="174">
        <v>0</v>
      </c>
      <c r="AL92" s="174">
        <v>0</v>
      </c>
      <c r="AM92" s="174">
        <v>0</v>
      </c>
      <c r="AN92" s="174">
        <v>0</v>
      </c>
      <c r="AO92" s="173">
        <f t="shared" si="33"/>
        <v>0</v>
      </c>
      <c r="AP92" s="174">
        <v>0</v>
      </c>
      <c r="AQ92" s="174">
        <v>0</v>
      </c>
      <c r="AR92" s="174">
        <v>0</v>
      </c>
      <c r="AS92" s="174">
        <v>0</v>
      </c>
      <c r="AT92" s="109">
        <f t="shared" si="34"/>
        <v>0</v>
      </c>
      <c r="AU92" s="113">
        <v>0</v>
      </c>
      <c r="AV92" s="113">
        <v>0</v>
      </c>
      <c r="AW92" s="113">
        <v>0</v>
      </c>
      <c r="AX92" s="113">
        <v>0</v>
      </c>
      <c r="AY92" s="113">
        <f t="shared" si="178"/>
        <v>0</v>
      </c>
      <c r="AZ92" s="113">
        <v>0</v>
      </c>
      <c r="BA92" s="113">
        <v>0</v>
      </c>
      <c r="BB92" s="113">
        <v>0</v>
      </c>
      <c r="BC92" s="113">
        <v>0</v>
      </c>
    </row>
    <row r="93" spans="1:55" s="105" customFormat="1" ht="63">
      <c r="A93" s="237" t="s">
        <v>935</v>
      </c>
      <c r="B93" s="200" t="s">
        <v>936</v>
      </c>
      <c r="C93" s="202" t="s">
        <v>876</v>
      </c>
      <c r="D93" s="177">
        <v>0</v>
      </c>
      <c r="E93" s="173">
        <f t="shared" si="20"/>
        <v>0</v>
      </c>
      <c r="F93" s="173">
        <f t="shared" si="4"/>
        <v>0</v>
      </c>
      <c r="G93" s="173">
        <f t="shared" si="5"/>
        <v>0</v>
      </c>
      <c r="H93" s="173">
        <f t="shared" si="6"/>
        <v>0</v>
      </c>
      <c r="I93" s="173">
        <f t="shared" si="7"/>
        <v>0</v>
      </c>
      <c r="J93" s="173">
        <f t="shared" si="16"/>
        <v>0</v>
      </c>
      <c r="K93" s="174">
        <v>0</v>
      </c>
      <c r="L93" s="174">
        <v>0</v>
      </c>
      <c r="M93" s="174">
        <v>0</v>
      </c>
      <c r="N93" s="174">
        <v>0</v>
      </c>
      <c r="O93" s="173">
        <f t="shared" si="8"/>
        <v>0</v>
      </c>
      <c r="P93" s="174">
        <v>0</v>
      </c>
      <c r="Q93" s="174">
        <v>0</v>
      </c>
      <c r="R93" s="174">
        <v>0</v>
      </c>
      <c r="S93" s="174">
        <v>0</v>
      </c>
      <c r="T93" s="173">
        <f t="shared" si="17"/>
        <v>0</v>
      </c>
      <c r="U93" s="174">
        <v>0</v>
      </c>
      <c r="V93" s="174">
        <v>0</v>
      </c>
      <c r="W93" s="174">
        <v>0</v>
      </c>
      <c r="X93" s="174">
        <v>0</v>
      </c>
      <c r="Y93" s="173">
        <f t="shared" si="18"/>
        <v>0</v>
      </c>
      <c r="Z93" s="174">
        <v>0</v>
      </c>
      <c r="AA93" s="174">
        <v>0</v>
      </c>
      <c r="AB93" s="174">
        <v>0</v>
      </c>
      <c r="AC93" s="174">
        <v>0</v>
      </c>
      <c r="AD93" s="527">
        <v>0</v>
      </c>
      <c r="AE93" s="173">
        <f t="shared" si="31"/>
        <v>0</v>
      </c>
      <c r="AF93" s="173">
        <f t="shared" si="21"/>
        <v>0</v>
      </c>
      <c r="AG93" s="173">
        <f t="shared" si="9"/>
        <v>0</v>
      </c>
      <c r="AH93" s="173">
        <f t="shared" si="10"/>
        <v>0</v>
      </c>
      <c r="AI93" s="173">
        <f t="shared" si="11"/>
        <v>0</v>
      </c>
      <c r="AJ93" s="173">
        <f t="shared" si="32"/>
        <v>0</v>
      </c>
      <c r="AK93" s="174">
        <v>0</v>
      </c>
      <c r="AL93" s="174">
        <v>0</v>
      </c>
      <c r="AM93" s="174">
        <v>0</v>
      </c>
      <c r="AN93" s="174">
        <v>0</v>
      </c>
      <c r="AO93" s="173">
        <f t="shared" si="33"/>
        <v>0</v>
      </c>
      <c r="AP93" s="174">
        <v>0</v>
      </c>
      <c r="AQ93" s="174">
        <v>0</v>
      </c>
      <c r="AR93" s="174">
        <v>0</v>
      </c>
      <c r="AS93" s="174">
        <v>0</v>
      </c>
      <c r="AT93" s="109">
        <f t="shared" si="34"/>
        <v>0</v>
      </c>
      <c r="AU93" s="113">
        <v>0</v>
      </c>
      <c r="AV93" s="113">
        <v>0</v>
      </c>
      <c r="AW93" s="113">
        <v>0</v>
      </c>
      <c r="AX93" s="113">
        <v>0</v>
      </c>
      <c r="AY93" s="113">
        <f t="shared" si="178"/>
        <v>0</v>
      </c>
      <c r="AZ93" s="113">
        <v>0</v>
      </c>
      <c r="BA93" s="113">
        <v>0</v>
      </c>
      <c r="BB93" s="113">
        <v>0</v>
      </c>
      <c r="BC93" s="113">
        <v>0</v>
      </c>
    </row>
    <row r="94" spans="1:55" s="105" customFormat="1" ht="63">
      <c r="A94" s="239" t="s">
        <v>937</v>
      </c>
      <c r="B94" s="200" t="s">
        <v>938</v>
      </c>
      <c r="C94" s="202" t="s">
        <v>876</v>
      </c>
      <c r="D94" s="179">
        <v>0</v>
      </c>
      <c r="E94" s="173">
        <f t="shared" si="20"/>
        <v>0</v>
      </c>
      <c r="F94" s="173">
        <f t="shared" si="4"/>
        <v>0</v>
      </c>
      <c r="G94" s="173">
        <f t="shared" si="5"/>
        <v>0</v>
      </c>
      <c r="H94" s="173">
        <f t="shared" si="6"/>
        <v>0</v>
      </c>
      <c r="I94" s="173">
        <f t="shared" si="7"/>
        <v>0</v>
      </c>
      <c r="J94" s="173">
        <f t="shared" si="16"/>
        <v>0</v>
      </c>
      <c r="K94" s="174">
        <f>K95+K96</f>
        <v>0</v>
      </c>
      <c r="L94" s="174">
        <f>L95+L96</f>
        <v>0</v>
      </c>
      <c r="M94" s="174">
        <f>M95+M96</f>
        <v>0</v>
      </c>
      <c r="N94" s="174">
        <f>N95+N96</f>
        <v>0</v>
      </c>
      <c r="O94" s="173">
        <f t="shared" si="8"/>
        <v>0</v>
      </c>
      <c r="P94" s="174">
        <f>P95+P96</f>
        <v>0</v>
      </c>
      <c r="Q94" s="174">
        <f>Q95+Q96</f>
        <v>0</v>
      </c>
      <c r="R94" s="174">
        <f>R95+R96</f>
        <v>0</v>
      </c>
      <c r="S94" s="174">
        <f>S95+S96</f>
        <v>0</v>
      </c>
      <c r="T94" s="173">
        <f t="shared" si="17"/>
        <v>0</v>
      </c>
      <c r="U94" s="174">
        <f>U95+U96</f>
        <v>0</v>
      </c>
      <c r="V94" s="174">
        <f>V95+V96</f>
        <v>0</v>
      </c>
      <c r="W94" s="174">
        <f>W95+W96</f>
        <v>0</v>
      </c>
      <c r="X94" s="174">
        <f>X95+X96</f>
        <v>0</v>
      </c>
      <c r="Y94" s="173">
        <f t="shared" si="18"/>
        <v>0</v>
      </c>
      <c r="Z94" s="174">
        <f>Z95+Z96</f>
        <v>0</v>
      </c>
      <c r="AA94" s="174">
        <f>AA95+AA96</f>
        <v>0</v>
      </c>
      <c r="AB94" s="174">
        <f>AB95+AB96</f>
        <v>0</v>
      </c>
      <c r="AC94" s="174">
        <f>AC95+AC96</f>
        <v>0</v>
      </c>
      <c r="AD94" s="527">
        <v>0</v>
      </c>
      <c r="AE94" s="173">
        <f t="shared" si="31"/>
        <v>0</v>
      </c>
      <c r="AF94" s="173">
        <f t="shared" si="21"/>
        <v>0</v>
      </c>
      <c r="AG94" s="173">
        <f t="shared" si="9"/>
        <v>0</v>
      </c>
      <c r="AH94" s="173">
        <f t="shared" si="10"/>
        <v>0</v>
      </c>
      <c r="AI94" s="173">
        <f t="shared" si="11"/>
        <v>0</v>
      </c>
      <c r="AJ94" s="173">
        <f t="shared" si="32"/>
        <v>0</v>
      </c>
      <c r="AK94" s="174">
        <f>AK95+AK96</f>
        <v>0</v>
      </c>
      <c r="AL94" s="174">
        <f>AL95+AL96</f>
        <v>0</v>
      </c>
      <c r="AM94" s="174">
        <f>AM95+AM96</f>
        <v>0</v>
      </c>
      <c r="AN94" s="174">
        <f>AN95+AN96</f>
        <v>0</v>
      </c>
      <c r="AO94" s="173">
        <f t="shared" si="33"/>
        <v>0</v>
      </c>
      <c r="AP94" s="174">
        <f>AP95+AP96</f>
        <v>0</v>
      </c>
      <c r="AQ94" s="174">
        <f>AQ95+AQ96</f>
        <v>0</v>
      </c>
      <c r="AR94" s="174">
        <f>AR95+AR96</f>
        <v>0</v>
      </c>
      <c r="AS94" s="174">
        <f>AS95+AS96</f>
        <v>0</v>
      </c>
      <c r="AT94" s="109">
        <f t="shared" si="34"/>
        <v>0</v>
      </c>
      <c r="AU94" s="113">
        <f>AU95+AU96</f>
        <v>0</v>
      </c>
      <c r="AV94" s="113">
        <f>AV95+AV96</f>
        <v>0</v>
      </c>
      <c r="AW94" s="113">
        <f>AW95+AW96</f>
        <v>0</v>
      </c>
      <c r="AX94" s="113">
        <f>AX95+AX96</f>
        <v>0</v>
      </c>
      <c r="AY94" s="113">
        <f t="shared" si="178"/>
        <v>0</v>
      </c>
      <c r="AZ94" s="113">
        <f>AZ95+AZ96</f>
        <v>0</v>
      </c>
      <c r="BA94" s="113">
        <f>BA95+BA96</f>
        <v>0</v>
      </c>
      <c r="BB94" s="113">
        <f>BB95+BB96</f>
        <v>0</v>
      </c>
      <c r="BC94" s="113">
        <f>BC95+BC96</f>
        <v>0</v>
      </c>
    </row>
    <row r="95" spans="1:55" s="105" customFormat="1" ht="31.5">
      <c r="A95" s="237" t="s">
        <v>939</v>
      </c>
      <c r="B95" s="200" t="s">
        <v>940</v>
      </c>
      <c r="C95" s="198" t="s">
        <v>876</v>
      </c>
      <c r="D95" s="527">
        <v>0</v>
      </c>
      <c r="E95" s="173">
        <f t="shared" si="20"/>
        <v>0</v>
      </c>
      <c r="F95" s="173">
        <f t="shared" si="4"/>
        <v>0</v>
      </c>
      <c r="G95" s="173">
        <f t="shared" si="5"/>
        <v>0</v>
      </c>
      <c r="H95" s="173">
        <f t="shared" si="6"/>
        <v>0</v>
      </c>
      <c r="I95" s="173">
        <f t="shared" si="7"/>
        <v>0</v>
      </c>
      <c r="J95" s="173">
        <f t="shared" si="16"/>
        <v>0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174">
        <v>0</v>
      </c>
      <c r="R95" s="174">
        <v>0</v>
      </c>
      <c r="S95" s="174">
        <v>0</v>
      </c>
      <c r="T95" s="173">
        <f t="shared" si="17"/>
        <v>0</v>
      </c>
      <c r="U95" s="174">
        <v>0</v>
      </c>
      <c r="V95" s="174">
        <v>0</v>
      </c>
      <c r="W95" s="174">
        <v>0</v>
      </c>
      <c r="X95" s="174">
        <v>0</v>
      </c>
      <c r="Y95" s="173">
        <f t="shared" si="18"/>
        <v>0</v>
      </c>
      <c r="Z95" s="174">
        <v>0</v>
      </c>
      <c r="AA95" s="174">
        <v>0</v>
      </c>
      <c r="AB95" s="174">
        <v>0</v>
      </c>
      <c r="AC95" s="174">
        <v>0</v>
      </c>
      <c r="AD95" s="527">
        <v>0</v>
      </c>
      <c r="AE95" s="173">
        <f t="shared" si="31"/>
        <v>0</v>
      </c>
      <c r="AF95" s="173">
        <f t="shared" si="21"/>
        <v>0</v>
      </c>
      <c r="AG95" s="173">
        <f t="shared" si="9"/>
        <v>0</v>
      </c>
      <c r="AH95" s="173">
        <f t="shared" si="10"/>
        <v>0</v>
      </c>
      <c r="AI95" s="173">
        <f t="shared" si="11"/>
        <v>0</v>
      </c>
      <c r="AJ95" s="173">
        <f t="shared" si="32"/>
        <v>0</v>
      </c>
      <c r="AK95" s="174">
        <v>0</v>
      </c>
      <c r="AL95" s="174">
        <v>0</v>
      </c>
      <c r="AM95" s="174">
        <v>0</v>
      </c>
      <c r="AN95" s="174">
        <v>0</v>
      </c>
      <c r="AO95" s="173">
        <f t="shared" si="33"/>
        <v>0</v>
      </c>
      <c r="AP95" s="174">
        <v>0</v>
      </c>
      <c r="AQ95" s="174">
        <v>0</v>
      </c>
      <c r="AR95" s="174">
        <v>0</v>
      </c>
      <c r="AS95" s="174">
        <v>0</v>
      </c>
      <c r="AT95" s="109">
        <f t="shared" si="34"/>
        <v>0</v>
      </c>
      <c r="AU95" s="174">
        <v>0</v>
      </c>
      <c r="AV95" s="174">
        <v>0</v>
      </c>
      <c r="AW95" s="174">
        <v>0</v>
      </c>
      <c r="AX95" s="174">
        <v>0</v>
      </c>
      <c r="AY95" s="114">
        <f t="shared" si="178"/>
        <v>0</v>
      </c>
      <c r="AZ95" s="114">
        <v>0</v>
      </c>
      <c r="BA95" s="114">
        <v>0</v>
      </c>
      <c r="BB95" s="114">
        <v>0</v>
      </c>
      <c r="BC95" s="114">
        <v>0</v>
      </c>
    </row>
    <row r="96" spans="1:55" s="105" customFormat="1" ht="47.25">
      <c r="A96" s="237" t="s">
        <v>941</v>
      </c>
      <c r="B96" s="200" t="s">
        <v>942</v>
      </c>
      <c r="C96" s="202" t="s">
        <v>876</v>
      </c>
      <c r="D96" s="177">
        <v>0</v>
      </c>
      <c r="E96" s="173">
        <f t="shared" si="20"/>
        <v>0</v>
      </c>
      <c r="F96" s="173">
        <f t="shared" si="4"/>
        <v>0</v>
      </c>
      <c r="G96" s="173">
        <f t="shared" si="5"/>
        <v>0</v>
      </c>
      <c r="H96" s="173">
        <f t="shared" si="6"/>
        <v>0</v>
      </c>
      <c r="I96" s="173">
        <f t="shared" si="7"/>
        <v>0</v>
      </c>
      <c r="J96" s="173">
        <f t="shared" si="16"/>
        <v>0</v>
      </c>
      <c r="K96" s="174">
        <v>0</v>
      </c>
      <c r="L96" s="174">
        <v>0</v>
      </c>
      <c r="M96" s="174">
        <v>0</v>
      </c>
      <c r="N96" s="174">
        <v>0</v>
      </c>
      <c r="O96" s="173">
        <f t="shared" si="8"/>
        <v>0</v>
      </c>
      <c r="P96" s="174">
        <v>0</v>
      </c>
      <c r="Q96" s="174">
        <v>0</v>
      </c>
      <c r="R96" s="174">
        <v>0</v>
      </c>
      <c r="S96" s="174">
        <v>0</v>
      </c>
      <c r="T96" s="173">
        <f t="shared" si="17"/>
        <v>0</v>
      </c>
      <c r="U96" s="174">
        <v>0</v>
      </c>
      <c r="V96" s="174">
        <v>0</v>
      </c>
      <c r="W96" s="174">
        <v>0</v>
      </c>
      <c r="X96" s="174">
        <v>0</v>
      </c>
      <c r="Y96" s="173">
        <f t="shared" si="18"/>
        <v>0</v>
      </c>
      <c r="Z96" s="174">
        <v>0</v>
      </c>
      <c r="AA96" s="174">
        <v>0</v>
      </c>
      <c r="AB96" s="174">
        <v>0</v>
      </c>
      <c r="AC96" s="174">
        <v>0</v>
      </c>
      <c r="AD96" s="527">
        <v>0</v>
      </c>
      <c r="AE96" s="173">
        <f t="shared" si="31"/>
        <v>0</v>
      </c>
      <c r="AF96" s="173">
        <f t="shared" si="21"/>
        <v>0</v>
      </c>
      <c r="AG96" s="173">
        <f t="shared" si="9"/>
        <v>0</v>
      </c>
      <c r="AH96" s="173">
        <f t="shared" si="10"/>
        <v>0</v>
      </c>
      <c r="AI96" s="173">
        <f t="shared" si="11"/>
        <v>0</v>
      </c>
      <c r="AJ96" s="173">
        <f t="shared" si="32"/>
        <v>0</v>
      </c>
      <c r="AK96" s="174">
        <v>0</v>
      </c>
      <c r="AL96" s="174">
        <v>0</v>
      </c>
      <c r="AM96" s="174">
        <v>0</v>
      </c>
      <c r="AN96" s="174">
        <v>0</v>
      </c>
      <c r="AO96" s="173">
        <f t="shared" si="33"/>
        <v>0</v>
      </c>
      <c r="AP96" s="174">
        <v>0</v>
      </c>
      <c r="AQ96" s="174">
        <v>0</v>
      </c>
      <c r="AR96" s="174">
        <v>0</v>
      </c>
      <c r="AS96" s="174">
        <v>0</v>
      </c>
      <c r="AT96" s="109">
        <f t="shared" si="34"/>
        <v>0</v>
      </c>
      <c r="AU96" s="113">
        <v>0</v>
      </c>
      <c r="AV96" s="113">
        <v>0</v>
      </c>
      <c r="AW96" s="113">
        <v>0</v>
      </c>
      <c r="AX96" s="113">
        <v>0</v>
      </c>
      <c r="AY96" s="113">
        <f t="shared" si="178"/>
        <v>0</v>
      </c>
      <c r="AZ96" s="113">
        <v>0</v>
      </c>
      <c r="BA96" s="113">
        <v>0</v>
      </c>
      <c r="BB96" s="113">
        <v>0</v>
      </c>
      <c r="BC96" s="113">
        <v>0</v>
      </c>
    </row>
    <row r="97" spans="1:55" s="105" customFormat="1" ht="126">
      <c r="A97" s="239" t="s">
        <v>943</v>
      </c>
      <c r="B97" s="200" t="s">
        <v>944</v>
      </c>
      <c r="C97" s="202" t="s">
        <v>876</v>
      </c>
      <c r="D97" s="177">
        <v>0</v>
      </c>
      <c r="E97" s="173">
        <f t="shared" ref="E97:E111" si="211">J97+O97+T97+Y97</f>
        <v>0</v>
      </c>
      <c r="F97" s="173">
        <f t="shared" ref="F97:F111" si="212">K97+P97+U97+Z97</f>
        <v>0</v>
      </c>
      <c r="G97" s="173">
        <f t="shared" ref="G97:G111" si="213">L97+Q97+V97+AA97</f>
        <v>0</v>
      </c>
      <c r="H97" s="173">
        <f t="shared" ref="H97:H111" si="214">M97+R97+W97+AB97</f>
        <v>0</v>
      </c>
      <c r="I97" s="173">
        <f t="shared" ref="I97:I111" si="215">N97+S97+X97+AC97</f>
        <v>0</v>
      </c>
      <c r="J97" s="173">
        <f t="shared" ref="J97:J111" si="216">SUM(K97:N97)</f>
        <v>0</v>
      </c>
      <c r="K97" s="174">
        <f>K98+K99</f>
        <v>0</v>
      </c>
      <c r="L97" s="174">
        <f>L98+L99</f>
        <v>0</v>
      </c>
      <c r="M97" s="174">
        <f>M98+M99</f>
        <v>0</v>
      </c>
      <c r="N97" s="174">
        <f>N98+N99</f>
        <v>0</v>
      </c>
      <c r="O97" s="173">
        <f t="shared" ref="O97:O111" si="217">SUM(P97:S97)</f>
        <v>0</v>
      </c>
      <c r="P97" s="174">
        <f>P98+P99</f>
        <v>0</v>
      </c>
      <c r="Q97" s="174">
        <f>Q98+Q99</f>
        <v>0</v>
      </c>
      <c r="R97" s="174">
        <f>R98+R99</f>
        <v>0</v>
      </c>
      <c r="S97" s="174">
        <f>S98+S99</f>
        <v>0</v>
      </c>
      <c r="T97" s="173">
        <f t="shared" ref="T97:T105" si="218">SUM(U97:X97)</f>
        <v>0</v>
      </c>
      <c r="U97" s="174">
        <f>U98+U99</f>
        <v>0</v>
      </c>
      <c r="V97" s="174">
        <f>V98+V99</f>
        <v>0</v>
      </c>
      <c r="W97" s="174">
        <f>W98+W99</f>
        <v>0</v>
      </c>
      <c r="X97" s="174">
        <f>X98+X99</f>
        <v>0</v>
      </c>
      <c r="Y97" s="173">
        <f t="shared" ref="Y97:Y111" si="219">SUM(Z97:AC97)</f>
        <v>0</v>
      </c>
      <c r="Z97" s="174">
        <f>Z98+Z99</f>
        <v>0</v>
      </c>
      <c r="AA97" s="174">
        <f>AA98+AA99</f>
        <v>0</v>
      </c>
      <c r="AB97" s="174">
        <f>AB98+AB99</f>
        <v>0</v>
      </c>
      <c r="AC97" s="174">
        <f>AC98+AC99</f>
        <v>0</v>
      </c>
      <c r="AD97" s="527">
        <v>0</v>
      </c>
      <c r="AE97" s="173">
        <f t="shared" ref="AE97:AE111" si="220">AJ97+AO97+AT97+AY97</f>
        <v>0</v>
      </c>
      <c r="AF97" s="173">
        <f t="shared" ref="AF97:AF111" si="221">AK97+AP97+AU97+AZ97</f>
        <v>0</v>
      </c>
      <c r="AG97" s="173">
        <f t="shared" ref="AG97:AG111" si="222">AL97+AQ97+AV97+BA97</f>
        <v>0</v>
      </c>
      <c r="AH97" s="173">
        <f t="shared" ref="AH97:AH111" si="223">AM97+AR97+AW97+BB97</f>
        <v>0</v>
      </c>
      <c r="AI97" s="173">
        <f t="shared" ref="AI97:AI111" si="224">AN97+AS97+AX97+BC97</f>
        <v>0</v>
      </c>
      <c r="AJ97" s="173">
        <f t="shared" ref="AJ97:AJ111" si="225">SUM(AK97:AN97)</f>
        <v>0</v>
      </c>
      <c r="AK97" s="174">
        <f>AK98+AK99</f>
        <v>0</v>
      </c>
      <c r="AL97" s="174">
        <f>AL98+AL99</f>
        <v>0</v>
      </c>
      <c r="AM97" s="174">
        <f>AM98+AM99</f>
        <v>0</v>
      </c>
      <c r="AN97" s="174">
        <f>AN98+AN99</f>
        <v>0</v>
      </c>
      <c r="AO97" s="173">
        <f t="shared" ref="AO97:AO107" si="226">SUM(AP97:AS97)</f>
        <v>0</v>
      </c>
      <c r="AP97" s="174">
        <f>AP98+AP99</f>
        <v>0</v>
      </c>
      <c r="AQ97" s="174">
        <f>AQ98+AQ99</f>
        <v>0</v>
      </c>
      <c r="AR97" s="174">
        <f>AR98+AR99</f>
        <v>0</v>
      </c>
      <c r="AS97" s="174">
        <f>AS98+AS99</f>
        <v>0</v>
      </c>
      <c r="AT97" s="109">
        <f t="shared" ref="AT97:AT111" si="227">SUM(AU97:AX97)</f>
        <v>0</v>
      </c>
      <c r="AU97" s="113">
        <f>AU98+AU99</f>
        <v>0</v>
      </c>
      <c r="AV97" s="113">
        <f>AV98+AV99</f>
        <v>0</v>
      </c>
      <c r="AW97" s="113">
        <f>AW98+AW99</f>
        <v>0</v>
      </c>
      <c r="AX97" s="113">
        <f>AX98+AX99</f>
        <v>0</v>
      </c>
      <c r="AY97" s="113">
        <f t="shared" ref="AY97:AY110" si="228">SUM(AZ97:BC97)</f>
        <v>0</v>
      </c>
      <c r="AZ97" s="113">
        <f>AZ98+AZ99</f>
        <v>0</v>
      </c>
      <c r="BA97" s="113">
        <f>BA98+BA99</f>
        <v>0</v>
      </c>
      <c r="BB97" s="113">
        <f>BB98+BB99</f>
        <v>0</v>
      </c>
      <c r="BC97" s="113">
        <f>BC98+BC99</f>
        <v>0</v>
      </c>
    </row>
    <row r="98" spans="1:55" s="105" customFormat="1" ht="78.75">
      <c r="A98" s="239" t="s">
        <v>945</v>
      </c>
      <c r="B98" s="200" t="s">
        <v>946</v>
      </c>
      <c r="C98" s="202" t="s">
        <v>876</v>
      </c>
      <c r="D98" s="177">
        <v>0</v>
      </c>
      <c r="E98" s="173">
        <f t="shared" si="211"/>
        <v>0</v>
      </c>
      <c r="F98" s="173">
        <f t="shared" si="212"/>
        <v>0</v>
      </c>
      <c r="G98" s="173">
        <f t="shared" si="213"/>
        <v>0</v>
      </c>
      <c r="H98" s="173">
        <f t="shared" si="214"/>
        <v>0</v>
      </c>
      <c r="I98" s="173">
        <f t="shared" si="215"/>
        <v>0</v>
      </c>
      <c r="J98" s="173">
        <f t="shared" si="216"/>
        <v>0</v>
      </c>
      <c r="K98" s="174">
        <v>0</v>
      </c>
      <c r="L98" s="174">
        <v>0</v>
      </c>
      <c r="M98" s="174">
        <v>0</v>
      </c>
      <c r="N98" s="174">
        <v>0</v>
      </c>
      <c r="O98" s="173">
        <f t="shared" si="217"/>
        <v>0</v>
      </c>
      <c r="P98" s="174">
        <v>0</v>
      </c>
      <c r="Q98" s="174">
        <v>0</v>
      </c>
      <c r="R98" s="174">
        <v>0</v>
      </c>
      <c r="S98" s="174">
        <v>0</v>
      </c>
      <c r="T98" s="173">
        <f t="shared" si="218"/>
        <v>0</v>
      </c>
      <c r="U98" s="174">
        <v>0</v>
      </c>
      <c r="V98" s="174">
        <v>0</v>
      </c>
      <c r="W98" s="174">
        <v>0</v>
      </c>
      <c r="X98" s="174">
        <v>0</v>
      </c>
      <c r="Y98" s="173">
        <f t="shared" si="219"/>
        <v>0</v>
      </c>
      <c r="Z98" s="174">
        <v>0</v>
      </c>
      <c r="AA98" s="174">
        <v>0</v>
      </c>
      <c r="AB98" s="174">
        <v>0</v>
      </c>
      <c r="AC98" s="174">
        <v>0</v>
      </c>
      <c r="AD98" s="527">
        <v>0</v>
      </c>
      <c r="AE98" s="173">
        <f t="shared" si="220"/>
        <v>0</v>
      </c>
      <c r="AF98" s="173">
        <f t="shared" si="221"/>
        <v>0</v>
      </c>
      <c r="AG98" s="173">
        <f t="shared" si="222"/>
        <v>0</v>
      </c>
      <c r="AH98" s="173">
        <f t="shared" si="223"/>
        <v>0</v>
      </c>
      <c r="AI98" s="173">
        <f t="shared" si="224"/>
        <v>0</v>
      </c>
      <c r="AJ98" s="173">
        <f t="shared" si="225"/>
        <v>0</v>
      </c>
      <c r="AK98" s="174">
        <v>0</v>
      </c>
      <c r="AL98" s="174">
        <v>0</v>
      </c>
      <c r="AM98" s="174">
        <v>0</v>
      </c>
      <c r="AN98" s="174">
        <v>0</v>
      </c>
      <c r="AO98" s="173">
        <f t="shared" si="226"/>
        <v>0</v>
      </c>
      <c r="AP98" s="174">
        <v>0</v>
      </c>
      <c r="AQ98" s="174">
        <v>0</v>
      </c>
      <c r="AR98" s="174">
        <v>0</v>
      </c>
      <c r="AS98" s="174">
        <v>0</v>
      </c>
      <c r="AT98" s="109">
        <f t="shared" si="227"/>
        <v>0</v>
      </c>
      <c r="AU98" s="113">
        <v>0</v>
      </c>
      <c r="AV98" s="113">
        <v>0</v>
      </c>
      <c r="AW98" s="113">
        <v>0</v>
      </c>
      <c r="AX98" s="113">
        <v>0</v>
      </c>
      <c r="AY98" s="113">
        <f t="shared" si="228"/>
        <v>0</v>
      </c>
      <c r="AZ98" s="113">
        <v>0</v>
      </c>
      <c r="BA98" s="113">
        <v>0</v>
      </c>
      <c r="BB98" s="113">
        <v>0</v>
      </c>
      <c r="BC98" s="113">
        <v>0</v>
      </c>
    </row>
    <row r="99" spans="1:55" s="105" customFormat="1" ht="78.75">
      <c r="A99" s="239" t="s">
        <v>947</v>
      </c>
      <c r="B99" s="200" t="s">
        <v>948</v>
      </c>
      <c r="C99" s="202" t="s">
        <v>876</v>
      </c>
      <c r="D99" s="177">
        <v>0</v>
      </c>
      <c r="E99" s="173">
        <f t="shared" si="211"/>
        <v>0</v>
      </c>
      <c r="F99" s="173">
        <f t="shared" si="212"/>
        <v>0</v>
      </c>
      <c r="G99" s="173">
        <f t="shared" si="213"/>
        <v>0</v>
      </c>
      <c r="H99" s="173">
        <f t="shared" si="214"/>
        <v>0</v>
      </c>
      <c r="I99" s="173">
        <f t="shared" si="215"/>
        <v>0</v>
      </c>
      <c r="J99" s="173">
        <f t="shared" si="216"/>
        <v>0</v>
      </c>
      <c r="K99" s="174">
        <v>0</v>
      </c>
      <c r="L99" s="174">
        <v>0</v>
      </c>
      <c r="M99" s="174">
        <v>0</v>
      </c>
      <c r="N99" s="174">
        <v>0</v>
      </c>
      <c r="O99" s="173">
        <f t="shared" si="217"/>
        <v>0</v>
      </c>
      <c r="P99" s="174">
        <v>0</v>
      </c>
      <c r="Q99" s="174">
        <v>0</v>
      </c>
      <c r="R99" s="174">
        <v>0</v>
      </c>
      <c r="S99" s="174">
        <v>0</v>
      </c>
      <c r="T99" s="173">
        <f t="shared" si="218"/>
        <v>0</v>
      </c>
      <c r="U99" s="174">
        <v>0</v>
      </c>
      <c r="V99" s="174">
        <v>0</v>
      </c>
      <c r="W99" s="174">
        <v>0</v>
      </c>
      <c r="X99" s="174">
        <v>0</v>
      </c>
      <c r="Y99" s="173">
        <f t="shared" si="219"/>
        <v>0</v>
      </c>
      <c r="Z99" s="174">
        <v>0</v>
      </c>
      <c r="AA99" s="174">
        <v>0</v>
      </c>
      <c r="AB99" s="174">
        <v>0</v>
      </c>
      <c r="AC99" s="174">
        <v>0</v>
      </c>
      <c r="AD99" s="527">
        <v>0</v>
      </c>
      <c r="AE99" s="173">
        <f t="shared" si="220"/>
        <v>0</v>
      </c>
      <c r="AF99" s="173">
        <f t="shared" si="221"/>
        <v>0</v>
      </c>
      <c r="AG99" s="173">
        <f t="shared" si="222"/>
        <v>0</v>
      </c>
      <c r="AH99" s="173">
        <f t="shared" si="223"/>
        <v>0</v>
      </c>
      <c r="AI99" s="173">
        <f t="shared" si="224"/>
        <v>0</v>
      </c>
      <c r="AJ99" s="173">
        <f t="shared" si="225"/>
        <v>0</v>
      </c>
      <c r="AK99" s="174">
        <v>0</v>
      </c>
      <c r="AL99" s="174">
        <v>0</v>
      </c>
      <c r="AM99" s="174">
        <v>0</v>
      </c>
      <c r="AN99" s="174">
        <v>0</v>
      </c>
      <c r="AO99" s="173">
        <f t="shared" si="226"/>
        <v>0</v>
      </c>
      <c r="AP99" s="174">
        <v>0</v>
      </c>
      <c r="AQ99" s="174">
        <v>0</v>
      </c>
      <c r="AR99" s="174">
        <v>0</v>
      </c>
      <c r="AS99" s="174">
        <v>0</v>
      </c>
      <c r="AT99" s="109">
        <f t="shared" si="227"/>
        <v>0</v>
      </c>
      <c r="AU99" s="113">
        <v>0</v>
      </c>
      <c r="AV99" s="113">
        <v>0</v>
      </c>
      <c r="AW99" s="113">
        <v>0</v>
      </c>
      <c r="AX99" s="113">
        <v>0</v>
      </c>
      <c r="AY99" s="113">
        <f t="shared" si="228"/>
        <v>0</v>
      </c>
      <c r="AZ99" s="113">
        <v>0</v>
      </c>
      <c r="BA99" s="113">
        <v>0</v>
      </c>
      <c r="BB99" s="113">
        <v>0</v>
      </c>
      <c r="BC99" s="113">
        <v>0</v>
      </c>
    </row>
    <row r="100" spans="1:55" s="105" customFormat="1" ht="31.5">
      <c r="A100" s="239" t="s">
        <v>949</v>
      </c>
      <c r="B100" s="200" t="s">
        <v>884</v>
      </c>
      <c r="C100" s="198" t="s">
        <v>876</v>
      </c>
      <c r="D100" s="178">
        <f>D101+D102</f>
        <v>1.7919376000000002</v>
      </c>
      <c r="E100" s="173">
        <f t="shared" si="211"/>
        <v>1.7919376000000002</v>
      </c>
      <c r="F100" s="173">
        <f>K100+P100+U100+Z100</f>
        <v>0</v>
      </c>
      <c r="G100" s="173">
        <f t="shared" si="213"/>
        <v>1.7919376000000002</v>
      </c>
      <c r="H100" s="173">
        <f t="shared" si="214"/>
        <v>0</v>
      </c>
      <c r="I100" s="173">
        <f t="shared" si="215"/>
        <v>0</v>
      </c>
      <c r="J100" s="173">
        <f>SUM(K100:N100)</f>
        <v>1.7919376000000002</v>
      </c>
      <c r="K100" s="174">
        <f>SUM(K101:K102)</f>
        <v>0</v>
      </c>
      <c r="L100" s="174">
        <f>SUM(L101:L102)</f>
        <v>1.7919376000000002</v>
      </c>
      <c r="M100" s="174">
        <f>SUM(M101:M102)</f>
        <v>0</v>
      </c>
      <c r="N100" s="174">
        <f>SUM(N101:N102)</f>
        <v>0</v>
      </c>
      <c r="O100" s="173">
        <f t="shared" si="217"/>
        <v>0</v>
      </c>
      <c r="P100" s="174">
        <f>SUM(P101:P102)</f>
        <v>0</v>
      </c>
      <c r="Q100" s="174">
        <f>SUM(Q101:Q102)</f>
        <v>0</v>
      </c>
      <c r="R100" s="174">
        <f>SUM(R101:R102)</f>
        <v>0</v>
      </c>
      <c r="S100" s="174">
        <f>SUM(S101:S102)</f>
        <v>0</v>
      </c>
      <c r="T100" s="173">
        <f t="shared" si="218"/>
        <v>0</v>
      </c>
      <c r="U100" s="174">
        <v>0</v>
      </c>
      <c r="V100" s="174">
        <v>0</v>
      </c>
      <c r="W100" s="174">
        <v>0</v>
      </c>
      <c r="X100" s="174">
        <v>0</v>
      </c>
      <c r="Y100" s="173">
        <f t="shared" si="219"/>
        <v>0</v>
      </c>
      <c r="Z100" s="174">
        <v>0</v>
      </c>
      <c r="AA100" s="174">
        <v>0</v>
      </c>
      <c r="AB100" s="174">
        <v>0</v>
      </c>
      <c r="AC100" s="174">
        <v>0</v>
      </c>
      <c r="AD100" s="527">
        <v>0</v>
      </c>
      <c r="AE100" s="173">
        <f t="shared" si="220"/>
        <v>0</v>
      </c>
      <c r="AF100" s="173">
        <f t="shared" si="221"/>
        <v>0</v>
      </c>
      <c r="AG100" s="173">
        <f t="shared" si="222"/>
        <v>0</v>
      </c>
      <c r="AH100" s="173">
        <f t="shared" si="223"/>
        <v>0</v>
      </c>
      <c r="AI100" s="173">
        <f t="shared" si="224"/>
        <v>0</v>
      </c>
      <c r="AJ100" s="173">
        <f t="shared" si="225"/>
        <v>0</v>
      </c>
      <c r="AK100" s="174">
        <v>0</v>
      </c>
      <c r="AL100" s="174">
        <v>0</v>
      </c>
      <c r="AM100" s="174">
        <v>0</v>
      </c>
      <c r="AN100" s="174">
        <v>0</v>
      </c>
      <c r="AO100" s="173">
        <f t="shared" si="226"/>
        <v>0</v>
      </c>
      <c r="AP100" s="174">
        <v>0</v>
      </c>
      <c r="AQ100" s="174">
        <v>0</v>
      </c>
      <c r="AR100" s="174">
        <v>0</v>
      </c>
      <c r="AS100" s="174">
        <v>0</v>
      </c>
      <c r="AT100" s="109">
        <f t="shared" si="227"/>
        <v>0</v>
      </c>
      <c r="AU100" s="113">
        <v>0</v>
      </c>
      <c r="AV100" s="113">
        <v>0</v>
      </c>
      <c r="AW100" s="113">
        <v>0</v>
      </c>
      <c r="AX100" s="113">
        <v>0</v>
      </c>
      <c r="AY100" s="113">
        <f t="shared" si="228"/>
        <v>0</v>
      </c>
      <c r="AZ100" s="113">
        <v>0</v>
      </c>
      <c r="BA100" s="113">
        <v>0</v>
      </c>
      <c r="BB100" s="113">
        <v>0</v>
      </c>
      <c r="BC100" s="113">
        <v>0</v>
      </c>
    </row>
    <row r="101" spans="1:55" s="152" customFormat="1" ht="63">
      <c r="A101" s="246" t="s">
        <v>843</v>
      </c>
      <c r="B101" s="528" t="s">
        <v>1072</v>
      </c>
      <c r="C101" s="210" t="s">
        <v>1088</v>
      </c>
      <c r="D101" s="177">
        <f>'10'!G83</f>
        <v>1.1216254000000001</v>
      </c>
      <c r="E101" s="173">
        <f>J101+O101+T101+Y101</f>
        <v>1.1216254000000001</v>
      </c>
      <c r="F101" s="173">
        <f>K101+P101+U101+Z101</f>
        <v>0</v>
      </c>
      <c r="G101" s="173">
        <f t="shared" ref="G101:I102" si="229">L101+Q101+V101+AA101</f>
        <v>1.1216254000000001</v>
      </c>
      <c r="H101" s="173">
        <f t="shared" si="229"/>
        <v>0</v>
      </c>
      <c r="I101" s="173">
        <f t="shared" si="229"/>
        <v>0</v>
      </c>
      <c r="J101" s="173">
        <f>SUM(K101:N101)</f>
        <v>1.1216254000000001</v>
      </c>
      <c r="K101" s="174">
        <v>0</v>
      </c>
      <c r="L101" s="174">
        <f>'10'!J83</f>
        <v>1.1216254000000001</v>
      </c>
      <c r="M101" s="174">
        <v>0</v>
      </c>
      <c r="N101" s="174">
        <v>0</v>
      </c>
      <c r="O101" s="173">
        <v>0</v>
      </c>
      <c r="P101" s="174">
        <v>0</v>
      </c>
      <c r="Q101" s="174">
        <v>0</v>
      </c>
      <c r="R101" s="174">
        <v>0</v>
      </c>
      <c r="S101" s="174">
        <v>0</v>
      </c>
      <c r="T101" s="173">
        <v>0</v>
      </c>
      <c r="U101" s="174">
        <v>0</v>
      </c>
      <c r="V101" s="174">
        <v>0</v>
      </c>
      <c r="W101" s="174">
        <v>0</v>
      </c>
      <c r="X101" s="174">
        <v>0</v>
      </c>
      <c r="Y101" s="173">
        <v>0</v>
      </c>
      <c r="Z101" s="174">
        <v>0</v>
      </c>
      <c r="AA101" s="174">
        <v>0</v>
      </c>
      <c r="AB101" s="174">
        <v>0</v>
      </c>
      <c r="AC101" s="174">
        <v>0</v>
      </c>
      <c r="AD101" s="527">
        <v>0</v>
      </c>
      <c r="AE101" s="173">
        <v>0</v>
      </c>
      <c r="AF101" s="173">
        <v>0</v>
      </c>
      <c r="AG101" s="173">
        <v>0</v>
      </c>
      <c r="AH101" s="173">
        <v>0</v>
      </c>
      <c r="AI101" s="173">
        <v>0</v>
      </c>
      <c r="AJ101" s="173">
        <v>0</v>
      </c>
      <c r="AK101" s="174">
        <v>0</v>
      </c>
      <c r="AL101" s="174">
        <v>0</v>
      </c>
      <c r="AM101" s="174">
        <v>0</v>
      </c>
      <c r="AN101" s="174">
        <v>0</v>
      </c>
      <c r="AO101" s="173">
        <v>0</v>
      </c>
      <c r="AP101" s="174">
        <v>0</v>
      </c>
      <c r="AQ101" s="174">
        <v>0</v>
      </c>
      <c r="AR101" s="174">
        <v>0</v>
      </c>
      <c r="AS101" s="174">
        <v>0</v>
      </c>
      <c r="AT101" s="109">
        <f t="shared" si="227"/>
        <v>0</v>
      </c>
      <c r="AU101" s="113">
        <v>0</v>
      </c>
      <c r="AV101" s="113">
        <v>0</v>
      </c>
      <c r="AW101" s="113">
        <v>0</v>
      </c>
      <c r="AX101" s="113">
        <v>0</v>
      </c>
      <c r="AY101" s="113">
        <v>0</v>
      </c>
      <c r="AZ101" s="113">
        <v>0</v>
      </c>
      <c r="BA101" s="113">
        <v>0</v>
      </c>
      <c r="BB101" s="113">
        <v>0</v>
      </c>
      <c r="BC101" s="113">
        <v>0</v>
      </c>
    </row>
    <row r="102" spans="1:55" s="152" customFormat="1" ht="47.25">
      <c r="A102" s="246" t="s">
        <v>844</v>
      </c>
      <c r="B102" s="528" t="s">
        <v>1073</v>
      </c>
      <c r="C102" s="210" t="s">
        <v>1087</v>
      </c>
      <c r="D102" s="177">
        <f>'10'!G84</f>
        <v>0.67031220000000002</v>
      </c>
      <c r="E102" s="173">
        <f>J102+O102+T102+Y102</f>
        <v>0.67031220000000002</v>
      </c>
      <c r="F102" s="173">
        <f>K102+P102+U102+Z102</f>
        <v>0</v>
      </c>
      <c r="G102" s="173">
        <f t="shared" si="229"/>
        <v>0.67031220000000002</v>
      </c>
      <c r="H102" s="173">
        <f t="shared" si="229"/>
        <v>0</v>
      </c>
      <c r="I102" s="173">
        <f t="shared" si="229"/>
        <v>0</v>
      </c>
      <c r="J102" s="173">
        <f>SUM(K102:N102)</f>
        <v>0.67031220000000002</v>
      </c>
      <c r="K102" s="174">
        <v>0</v>
      </c>
      <c r="L102" s="174">
        <f>'10'!J84</f>
        <v>0.67031220000000002</v>
      </c>
      <c r="M102" s="174">
        <v>0</v>
      </c>
      <c r="N102" s="174">
        <v>0</v>
      </c>
      <c r="O102" s="173">
        <v>0</v>
      </c>
      <c r="P102" s="174">
        <v>0</v>
      </c>
      <c r="Q102" s="174">
        <v>0</v>
      </c>
      <c r="R102" s="174">
        <v>0</v>
      </c>
      <c r="S102" s="174">
        <v>0</v>
      </c>
      <c r="T102" s="173">
        <v>0</v>
      </c>
      <c r="U102" s="174">
        <v>0</v>
      </c>
      <c r="V102" s="174">
        <v>0</v>
      </c>
      <c r="W102" s="174">
        <v>0</v>
      </c>
      <c r="X102" s="174">
        <v>0</v>
      </c>
      <c r="Y102" s="173">
        <v>0</v>
      </c>
      <c r="Z102" s="174">
        <v>0</v>
      </c>
      <c r="AA102" s="174">
        <v>0</v>
      </c>
      <c r="AB102" s="174">
        <v>0</v>
      </c>
      <c r="AC102" s="174">
        <v>0</v>
      </c>
      <c r="AD102" s="527">
        <v>0</v>
      </c>
      <c r="AE102" s="173">
        <v>0</v>
      </c>
      <c r="AF102" s="173">
        <v>0</v>
      </c>
      <c r="AG102" s="173">
        <v>0</v>
      </c>
      <c r="AH102" s="173">
        <v>0</v>
      </c>
      <c r="AI102" s="173">
        <v>0</v>
      </c>
      <c r="AJ102" s="173">
        <v>0</v>
      </c>
      <c r="AK102" s="174">
        <v>0</v>
      </c>
      <c r="AL102" s="174">
        <v>0</v>
      </c>
      <c r="AM102" s="174">
        <v>0</v>
      </c>
      <c r="AN102" s="174">
        <v>0</v>
      </c>
      <c r="AO102" s="173">
        <v>0</v>
      </c>
      <c r="AP102" s="174">
        <v>0</v>
      </c>
      <c r="AQ102" s="174">
        <v>0</v>
      </c>
      <c r="AR102" s="174">
        <v>0</v>
      </c>
      <c r="AS102" s="174">
        <v>0</v>
      </c>
      <c r="AT102" s="109">
        <f t="shared" si="227"/>
        <v>0</v>
      </c>
      <c r="AU102" s="113">
        <v>0</v>
      </c>
      <c r="AV102" s="113">
        <v>0</v>
      </c>
      <c r="AW102" s="113">
        <v>0</v>
      </c>
      <c r="AX102" s="113">
        <v>0</v>
      </c>
      <c r="AY102" s="113">
        <v>0</v>
      </c>
      <c r="AZ102" s="113">
        <v>0</v>
      </c>
      <c r="BA102" s="113">
        <v>0</v>
      </c>
      <c r="BB102" s="113">
        <v>0</v>
      </c>
      <c r="BC102" s="113">
        <v>0</v>
      </c>
    </row>
    <row r="103" spans="1:55" s="105" customFormat="1" ht="47.25">
      <c r="A103" s="239" t="s">
        <v>950</v>
      </c>
      <c r="B103" s="200" t="s">
        <v>951</v>
      </c>
      <c r="C103" s="202" t="s">
        <v>876</v>
      </c>
      <c r="D103" s="177">
        <v>0</v>
      </c>
      <c r="E103" s="173">
        <f t="shared" si="211"/>
        <v>0</v>
      </c>
      <c r="F103" s="173">
        <f t="shared" si="212"/>
        <v>0</v>
      </c>
      <c r="G103" s="173">
        <f t="shared" si="213"/>
        <v>0</v>
      </c>
      <c r="H103" s="173">
        <f t="shared" si="214"/>
        <v>0</v>
      </c>
      <c r="I103" s="173">
        <f t="shared" si="215"/>
        <v>0</v>
      </c>
      <c r="J103" s="173">
        <f t="shared" si="216"/>
        <v>0</v>
      </c>
      <c r="K103" s="174">
        <v>0</v>
      </c>
      <c r="L103" s="174">
        <v>0</v>
      </c>
      <c r="M103" s="174">
        <v>0</v>
      </c>
      <c r="N103" s="174">
        <v>0</v>
      </c>
      <c r="O103" s="173">
        <f t="shared" si="217"/>
        <v>0</v>
      </c>
      <c r="P103" s="174">
        <v>0</v>
      </c>
      <c r="Q103" s="174">
        <v>0</v>
      </c>
      <c r="R103" s="174">
        <v>0</v>
      </c>
      <c r="S103" s="174">
        <v>0</v>
      </c>
      <c r="T103" s="173">
        <f t="shared" si="218"/>
        <v>0</v>
      </c>
      <c r="U103" s="174">
        <v>0</v>
      </c>
      <c r="V103" s="174">
        <v>0</v>
      </c>
      <c r="W103" s="174">
        <v>0</v>
      </c>
      <c r="X103" s="174">
        <v>0</v>
      </c>
      <c r="Y103" s="173">
        <f t="shared" si="219"/>
        <v>0</v>
      </c>
      <c r="Z103" s="174">
        <v>0</v>
      </c>
      <c r="AA103" s="174">
        <v>0</v>
      </c>
      <c r="AB103" s="174">
        <v>0</v>
      </c>
      <c r="AC103" s="174">
        <v>0</v>
      </c>
      <c r="AD103" s="527">
        <v>0</v>
      </c>
      <c r="AE103" s="173">
        <f t="shared" si="220"/>
        <v>0</v>
      </c>
      <c r="AF103" s="173">
        <f t="shared" si="221"/>
        <v>0</v>
      </c>
      <c r="AG103" s="173">
        <f t="shared" si="222"/>
        <v>0</v>
      </c>
      <c r="AH103" s="173">
        <f t="shared" si="223"/>
        <v>0</v>
      </c>
      <c r="AI103" s="173">
        <f t="shared" si="224"/>
        <v>0</v>
      </c>
      <c r="AJ103" s="173">
        <f t="shared" si="225"/>
        <v>0</v>
      </c>
      <c r="AK103" s="174">
        <v>0</v>
      </c>
      <c r="AL103" s="174">
        <v>0</v>
      </c>
      <c r="AM103" s="174">
        <v>0</v>
      </c>
      <c r="AN103" s="174">
        <v>0</v>
      </c>
      <c r="AO103" s="173">
        <f t="shared" si="226"/>
        <v>0</v>
      </c>
      <c r="AP103" s="174">
        <v>0</v>
      </c>
      <c r="AQ103" s="174">
        <v>0</v>
      </c>
      <c r="AR103" s="174">
        <v>0</v>
      </c>
      <c r="AS103" s="174">
        <v>0</v>
      </c>
      <c r="AT103" s="109">
        <f t="shared" si="227"/>
        <v>0</v>
      </c>
      <c r="AU103" s="113">
        <v>0</v>
      </c>
      <c r="AV103" s="113">
        <v>0</v>
      </c>
      <c r="AW103" s="113">
        <v>0</v>
      </c>
      <c r="AX103" s="113">
        <v>0</v>
      </c>
      <c r="AY103" s="114">
        <f>SUM(AZ103:BC103)</f>
        <v>0</v>
      </c>
      <c r="AZ103" s="114">
        <v>0</v>
      </c>
      <c r="BA103" s="114">
        <v>0</v>
      </c>
      <c r="BB103" s="114">
        <v>0</v>
      </c>
      <c r="BC103" s="114">
        <v>0</v>
      </c>
    </row>
    <row r="104" spans="1:55" s="105" customFormat="1" ht="31.5">
      <c r="A104" s="239" t="s">
        <v>952</v>
      </c>
      <c r="B104" s="200" t="s">
        <v>953</v>
      </c>
      <c r="C104" s="202" t="s">
        <v>876</v>
      </c>
      <c r="D104" s="179">
        <f>D105</f>
        <v>8.9344798730000008</v>
      </c>
      <c r="E104" s="173">
        <f t="shared" si="211"/>
        <v>8.934479872999999</v>
      </c>
      <c r="F104" s="173">
        <f t="shared" si="212"/>
        <v>0</v>
      </c>
      <c r="G104" s="173">
        <f t="shared" si="213"/>
        <v>0</v>
      </c>
      <c r="H104" s="173">
        <f t="shared" si="214"/>
        <v>0</v>
      </c>
      <c r="I104" s="173">
        <f t="shared" si="215"/>
        <v>8.934479872999999</v>
      </c>
      <c r="J104" s="173">
        <f t="shared" si="216"/>
        <v>3.7414932930000004</v>
      </c>
      <c r="K104" s="174">
        <f>K105</f>
        <v>0</v>
      </c>
      <c r="L104" s="174">
        <f>L105</f>
        <v>0</v>
      </c>
      <c r="M104" s="174">
        <f>M105</f>
        <v>0</v>
      </c>
      <c r="N104" s="174">
        <f>N105</f>
        <v>3.7414932930000004</v>
      </c>
      <c r="O104" s="173">
        <f t="shared" si="217"/>
        <v>2.6714932899999999</v>
      </c>
      <c r="P104" s="174">
        <f>P105</f>
        <v>0</v>
      </c>
      <c r="Q104" s="174">
        <f>Q105</f>
        <v>0</v>
      </c>
      <c r="R104" s="174">
        <f>R105</f>
        <v>0</v>
      </c>
      <c r="S104" s="174">
        <f>S105</f>
        <v>2.6714932899999999</v>
      </c>
      <c r="T104" s="173">
        <f t="shared" si="218"/>
        <v>1.6164932900000002</v>
      </c>
      <c r="U104" s="174">
        <f>U105</f>
        <v>0</v>
      </c>
      <c r="V104" s="174">
        <f>V105</f>
        <v>0</v>
      </c>
      <c r="W104" s="174">
        <f>W105</f>
        <v>0</v>
      </c>
      <c r="X104" s="174">
        <f>X105</f>
        <v>1.6164932900000002</v>
      </c>
      <c r="Y104" s="173">
        <f t="shared" si="219"/>
        <v>0.90500000000000003</v>
      </c>
      <c r="Z104" s="174">
        <f>Z105</f>
        <v>0</v>
      </c>
      <c r="AA104" s="174">
        <f>AA105</f>
        <v>0</v>
      </c>
      <c r="AB104" s="174">
        <f>AB105</f>
        <v>0</v>
      </c>
      <c r="AC104" s="174">
        <f>AC105</f>
        <v>0.90500000000000003</v>
      </c>
      <c r="AD104" s="172">
        <v>8.5708555211864415</v>
      </c>
      <c r="AE104" s="173">
        <f t="shared" si="220"/>
        <v>8.5708555211864415</v>
      </c>
      <c r="AF104" s="173">
        <f t="shared" si="221"/>
        <v>0</v>
      </c>
      <c r="AG104" s="173">
        <f t="shared" si="222"/>
        <v>0</v>
      </c>
      <c r="AH104" s="173">
        <f t="shared" si="223"/>
        <v>0</v>
      </c>
      <c r="AI104" s="173">
        <f t="shared" si="224"/>
        <v>8.5708555211864415</v>
      </c>
      <c r="AJ104" s="173">
        <f t="shared" si="225"/>
        <v>3.2859875272881358</v>
      </c>
      <c r="AK104" s="174">
        <f>AK105</f>
        <v>0</v>
      </c>
      <c r="AL104" s="174">
        <f>AL105</f>
        <v>0</v>
      </c>
      <c r="AM104" s="174">
        <f>AM105</f>
        <v>0</v>
      </c>
      <c r="AN104" s="174">
        <f>AN105</f>
        <v>3.2859875272881358</v>
      </c>
      <c r="AO104" s="173">
        <f t="shared" si="226"/>
        <v>2.26397736440678</v>
      </c>
      <c r="AP104" s="174">
        <f>AP105</f>
        <v>0</v>
      </c>
      <c r="AQ104" s="174">
        <f>AQ105</f>
        <v>0</v>
      </c>
      <c r="AR104" s="174">
        <f>AR105</f>
        <v>0</v>
      </c>
      <c r="AS104" s="174">
        <f>AS105</f>
        <v>2.26397736440678</v>
      </c>
      <c r="AT104" s="109">
        <f t="shared" si="227"/>
        <v>1.3699095677966102</v>
      </c>
      <c r="AU104" s="113">
        <f>AU105</f>
        <v>0</v>
      </c>
      <c r="AV104" s="113">
        <f>AV105</f>
        <v>0</v>
      </c>
      <c r="AW104" s="113">
        <f>AW105</f>
        <v>0</v>
      </c>
      <c r="AX104" s="113">
        <f>AX105</f>
        <v>1.3699095677966102</v>
      </c>
      <c r="AY104" s="114">
        <f>SUM(AZ104:BC104)</f>
        <v>1.6509810616949148</v>
      </c>
      <c r="AZ104" s="113">
        <f>AZ105</f>
        <v>0</v>
      </c>
      <c r="BA104" s="113">
        <f>BA105</f>
        <v>0</v>
      </c>
      <c r="BB104" s="113">
        <f>BB105</f>
        <v>0</v>
      </c>
      <c r="BC104" s="113">
        <f>BC105</f>
        <v>1.6509810616949148</v>
      </c>
    </row>
    <row r="105" spans="1:55" s="105" customFormat="1">
      <c r="A105" s="239" t="s">
        <v>952</v>
      </c>
      <c r="B105" s="200" t="s">
        <v>954</v>
      </c>
      <c r="C105" s="202" t="s">
        <v>876</v>
      </c>
      <c r="D105" s="179">
        <f>D106+D107</f>
        <v>8.9344798730000008</v>
      </c>
      <c r="E105" s="173">
        <f t="shared" si="211"/>
        <v>8.934479872999999</v>
      </c>
      <c r="F105" s="173">
        <f t="shared" si="212"/>
        <v>0</v>
      </c>
      <c r="G105" s="173">
        <f t="shared" si="213"/>
        <v>0</v>
      </c>
      <c r="H105" s="173">
        <f t="shared" si="214"/>
        <v>0</v>
      </c>
      <c r="I105" s="173">
        <f t="shared" si="215"/>
        <v>8.934479872999999</v>
      </c>
      <c r="J105" s="173">
        <f t="shared" si="216"/>
        <v>3.7414932930000004</v>
      </c>
      <c r="K105" s="174">
        <f>K106+K107</f>
        <v>0</v>
      </c>
      <c r="L105" s="174">
        <f>L106+L107</f>
        <v>0</v>
      </c>
      <c r="M105" s="174">
        <f>M106+M107</f>
        <v>0</v>
      </c>
      <c r="N105" s="174">
        <f>N106+N107</f>
        <v>3.7414932930000004</v>
      </c>
      <c r="O105" s="173">
        <f t="shared" si="217"/>
        <v>2.6714932899999999</v>
      </c>
      <c r="P105" s="174">
        <f>P106+P107</f>
        <v>0</v>
      </c>
      <c r="Q105" s="174">
        <f>Q106+Q107</f>
        <v>0</v>
      </c>
      <c r="R105" s="174">
        <f>R106+R107</f>
        <v>0</v>
      </c>
      <c r="S105" s="174">
        <f>S106+S107</f>
        <v>2.6714932899999999</v>
      </c>
      <c r="T105" s="173">
        <f t="shared" si="218"/>
        <v>1.6164932900000002</v>
      </c>
      <c r="U105" s="174">
        <f>U106+U107</f>
        <v>0</v>
      </c>
      <c r="V105" s="174">
        <f>V106+V107</f>
        <v>0</v>
      </c>
      <c r="W105" s="174">
        <f>W106+W107</f>
        <v>0</v>
      </c>
      <c r="X105" s="174">
        <f>X106+X107</f>
        <v>1.6164932900000002</v>
      </c>
      <c r="Y105" s="173">
        <f t="shared" si="219"/>
        <v>0.90500000000000003</v>
      </c>
      <c r="Z105" s="174">
        <f>Z106+Z107</f>
        <v>0</v>
      </c>
      <c r="AA105" s="174">
        <f>AA106+AA107</f>
        <v>0</v>
      </c>
      <c r="AB105" s="174">
        <f>AB106+AB107</f>
        <v>0</v>
      </c>
      <c r="AC105" s="174">
        <f>AC106+AC107</f>
        <v>0.90500000000000003</v>
      </c>
      <c r="AD105" s="527">
        <v>8.5708555211864415</v>
      </c>
      <c r="AE105" s="173">
        <f t="shared" si="220"/>
        <v>8.5708555211864415</v>
      </c>
      <c r="AF105" s="173">
        <f t="shared" si="221"/>
        <v>0</v>
      </c>
      <c r="AG105" s="173">
        <f t="shared" si="222"/>
        <v>0</v>
      </c>
      <c r="AH105" s="173">
        <f t="shared" si="223"/>
        <v>0</v>
      </c>
      <c r="AI105" s="173">
        <f t="shared" si="224"/>
        <v>8.5708555211864415</v>
      </c>
      <c r="AJ105" s="173">
        <f t="shared" si="225"/>
        <v>3.2859875272881358</v>
      </c>
      <c r="AK105" s="174">
        <f>AK106+AK107</f>
        <v>0</v>
      </c>
      <c r="AL105" s="174">
        <f>AL106+AL107</f>
        <v>0</v>
      </c>
      <c r="AM105" s="174">
        <f>AM106+AM107</f>
        <v>0</v>
      </c>
      <c r="AN105" s="174">
        <f>AN106+AN107</f>
        <v>3.2859875272881358</v>
      </c>
      <c r="AO105" s="173">
        <f t="shared" si="226"/>
        <v>2.26397736440678</v>
      </c>
      <c r="AP105" s="174">
        <f>AP106+AP107</f>
        <v>0</v>
      </c>
      <c r="AQ105" s="174">
        <f>AQ106+AQ107</f>
        <v>0</v>
      </c>
      <c r="AR105" s="174">
        <f>AR106+AR107</f>
        <v>0</v>
      </c>
      <c r="AS105" s="174">
        <f>AS106+AS107</f>
        <v>2.26397736440678</v>
      </c>
      <c r="AT105" s="109">
        <f t="shared" si="227"/>
        <v>1.3699095677966102</v>
      </c>
      <c r="AU105" s="113">
        <f>AU106+AU107</f>
        <v>0</v>
      </c>
      <c r="AV105" s="113">
        <f>AV106+AV107</f>
        <v>0</v>
      </c>
      <c r="AW105" s="113">
        <f>AW106+AW107</f>
        <v>0</v>
      </c>
      <c r="AX105" s="113">
        <f>AX106+AX107</f>
        <v>1.3699095677966102</v>
      </c>
      <c r="AY105" s="114">
        <f>SUM(AZ105:BC105)</f>
        <v>1.6509810616949148</v>
      </c>
      <c r="AZ105" s="113">
        <f>AZ106+AZ107</f>
        <v>0</v>
      </c>
      <c r="BA105" s="113">
        <f>BA106+BA107</f>
        <v>0</v>
      </c>
      <c r="BB105" s="113">
        <f>BB106+BB107</f>
        <v>0</v>
      </c>
      <c r="BC105" s="113">
        <f>BC106+BC107</f>
        <v>1.6509810616949148</v>
      </c>
    </row>
    <row r="106" spans="1:55" s="105" customFormat="1" ht="47.25">
      <c r="A106" s="239" t="s">
        <v>955</v>
      </c>
      <c r="B106" s="525" t="s">
        <v>956</v>
      </c>
      <c r="C106" s="204" t="s">
        <v>957</v>
      </c>
      <c r="D106" s="179">
        <f>'10'!G87</f>
        <v>0.82947987300000003</v>
      </c>
      <c r="E106" s="173">
        <f t="shared" si="211"/>
        <v>0.82947987300000003</v>
      </c>
      <c r="F106" s="173">
        <f t="shared" si="212"/>
        <v>0</v>
      </c>
      <c r="G106" s="173">
        <f t="shared" si="213"/>
        <v>0</v>
      </c>
      <c r="H106" s="173">
        <f t="shared" si="214"/>
        <v>0</v>
      </c>
      <c r="I106" s="173">
        <f t="shared" si="215"/>
        <v>0.82947987300000003</v>
      </c>
      <c r="J106" s="173">
        <f t="shared" si="216"/>
        <v>0.27649329299999997</v>
      </c>
      <c r="K106" s="174">
        <v>0</v>
      </c>
      <c r="L106" s="174">
        <v>0</v>
      </c>
      <c r="M106" s="174">
        <v>0</v>
      </c>
      <c r="N106" s="174">
        <f>'10'!J87</f>
        <v>0.27649329299999997</v>
      </c>
      <c r="O106" s="173">
        <f t="shared" si="217"/>
        <v>0.27649329</v>
      </c>
      <c r="P106" s="174">
        <v>0</v>
      </c>
      <c r="Q106" s="174">
        <v>0</v>
      </c>
      <c r="R106" s="174">
        <v>0</v>
      </c>
      <c r="S106" s="174">
        <f>'10'!L87</f>
        <v>0.27649329</v>
      </c>
      <c r="T106" s="173">
        <f>SUM(U106:X106)</f>
        <v>0.27649329</v>
      </c>
      <c r="U106" s="174">
        <v>0</v>
      </c>
      <c r="V106" s="174">
        <v>0</v>
      </c>
      <c r="W106" s="174">
        <v>0</v>
      </c>
      <c r="X106" s="174">
        <f>'10'!N87</f>
        <v>0.27649329</v>
      </c>
      <c r="Y106" s="173">
        <f t="shared" si="219"/>
        <v>0</v>
      </c>
      <c r="Z106" s="174">
        <v>0</v>
      </c>
      <c r="AA106" s="174">
        <v>0</v>
      </c>
      <c r="AB106" s="174">
        <v>0</v>
      </c>
      <c r="AC106" s="174">
        <f>'10'!P87</f>
        <v>0</v>
      </c>
      <c r="AD106" s="527">
        <f>'12'!H105</f>
        <v>0.76515382627118655</v>
      </c>
      <c r="AE106" s="173">
        <f t="shared" si="220"/>
        <v>0.76515382627118655</v>
      </c>
      <c r="AF106" s="173">
        <f t="shared" si="221"/>
        <v>0</v>
      </c>
      <c r="AG106" s="173">
        <f t="shared" si="222"/>
        <v>0</v>
      </c>
      <c r="AH106" s="173">
        <f t="shared" si="223"/>
        <v>0</v>
      </c>
      <c r="AI106" s="173">
        <f t="shared" si="224"/>
        <v>0.76515382627118655</v>
      </c>
      <c r="AJ106" s="173">
        <f t="shared" si="225"/>
        <v>0.23431634999999998</v>
      </c>
      <c r="AK106" s="174">
        <f>K106</f>
        <v>0</v>
      </c>
      <c r="AL106" s="174">
        <f>L106</f>
        <v>0</v>
      </c>
      <c r="AM106" s="174">
        <f>M106</f>
        <v>0</v>
      </c>
      <c r="AN106" s="174">
        <f>'12'!K105</f>
        <v>0.23431634999999998</v>
      </c>
      <c r="AO106" s="173">
        <f>SUM(AP106:AS106)</f>
        <v>0.23431634745762714</v>
      </c>
      <c r="AP106" s="174">
        <f>P106</f>
        <v>0</v>
      </c>
      <c r="AQ106" s="174">
        <f>Q106</f>
        <v>0</v>
      </c>
      <c r="AR106" s="174">
        <f>R106</f>
        <v>0</v>
      </c>
      <c r="AS106" s="174">
        <f>'12'!M105</f>
        <v>0.23431634745762714</v>
      </c>
      <c r="AT106" s="109">
        <f t="shared" si="227"/>
        <v>0.23431634745762714</v>
      </c>
      <c r="AU106" s="113">
        <v>0</v>
      </c>
      <c r="AV106" s="113">
        <v>0</v>
      </c>
      <c r="AW106" s="113">
        <v>0</v>
      </c>
      <c r="AX106" s="113">
        <f>'12'!O105</f>
        <v>0.23431634745762714</v>
      </c>
      <c r="AY106" s="114">
        <f>SUM(AZ106:BC106)</f>
        <v>6.2204781355932326E-2</v>
      </c>
      <c r="AZ106" s="113">
        <v>0</v>
      </c>
      <c r="BA106" s="113">
        <v>0</v>
      </c>
      <c r="BB106" s="113">
        <v>0</v>
      </c>
      <c r="BC106" s="113">
        <f>AD106-AN106-AS106-AX106</f>
        <v>6.2204781355932326E-2</v>
      </c>
    </row>
    <row r="107" spans="1:55" s="105" customFormat="1" ht="47.25">
      <c r="A107" s="239" t="s">
        <v>958</v>
      </c>
      <c r="B107" s="525" t="s">
        <v>959</v>
      </c>
      <c r="C107" s="204" t="s">
        <v>876</v>
      </c>
      <c r="D107" s="179">
        <f>'10'!G88</f>
        <v>8.1050000000000004</v>
      </c>
      <c r="E107" s="173">
        <f t="shared" si="211"/>
        <v>8.1050000000000004</v>
      </c>
      <c r="F107" s="173">
        <f t="shared" si="212"/>
        <v>0</v>
      </c>
      <c r="G107" s="173">
        <f t="shared" si="213"/>
        <v>0</v>
      </c>
      <c r="H107" s="173">
        <f t="shared" si="214"/>
        <v>0</v>
      </c>
      <c r="I107" s="173">
        <f t="shared" si="215"/>
        <v>8.1050000000000004</v>
      </c>
      <c r="J107" s="173">
        <f t="shared" si="216"/>
        <v>3.4650000000000003</v>
      </c>
      <c r="K107" s="174">
        <f>K108+K109+K110+K111</f>
        <v>0</v>
      </c>
      <c r="L107" s="174">
        <f>L108+L109+L110+L111</f>
        <v>0</v>
      </c>
      <c r="M107" s="174">
        <f>M108+M109+M110+M111</f>
        <v>0</v>
      </c>
      <c r="N107" s="174">
        <f>'10'!J88</f>
        <v>3.4650000000000003</v>
      </c>
      <c r="O107" s="173">
        <f t="shared" si="217"/>
        <v>2.395</v>
      </c>
      <c r="P107" s="174">
        <f>P108+P109+P110+P111</f>
        <v>0</v>
      </c>
      <c r="Q107" s="174">
        <f>Q108+Q109+Q110+Q111</f>
        <v>0</v>
      </c>
      <c r="R107" s="174">
        <f>R108+R109+R110+R111</f>
        <v>0</v>
      </c>
      <c r="S107" s="174">
        <f>'10'!L88</f>
        <v>2.395</v>
      </c>
      <c r="T107" s="173">
        <f t="shared" ref="T107:T111" si="230">SUM(U107:X107)</f>
        <v>1.34</v>
      </c>
      <c r="U107" s="174">
        <f>U108+U109+U110+U111</f>
        <v>0</v>
      </c>
      <c r="V107" s="174">
        <f>V108+V109+V110+V111</f>
        <v>0</v>
      </c>
      <c r="W107" s="174">
        <f>W108+W109+W110+W111</f>
        <v>0</v>
      </c>
      <c r="X107" s="174">
        <f>'10'!N88</f>
        <v>1.34</v>
      </c>
      <c r="Y107" s="173">
        <f t="shared" si="219"/>
        <v>0.90500000000000003</v>
      </c>
      <c r="Z107" s="174">
        <f>Z108+Z109+Z110+Z111</f>
        <v>0</v>
      </c>
      <c r="AA107" s="174">
        <f>AA108+AA109+AA110+AA111</f>
        <v>0</v>
      </c>
      <c r="AB107" s="174">
        <f>AB108+AB109+AB110+AB111</f>
        <v>0</v>
      </c>
      <c r="AC107" s="174">
        <f>'10'!P88</f>
        <v>0.90500000000000003</v>
      </c>
      <c r="AD107" s="527">
        <f>'12'!H106</f>
        <v>7.8057016949152542</v>
      </c>
      <c r="AE107" s="173">
        <f t="shared" si="220"/>
        <v>7.8057016949152542</v>
      </c>
      <c r="AF107" s="173">
        <f t="shared" si="221"/>
        <v>0</v>
      </c>
      <c r="AG107" s="173">
        <f t="shared" si="222"/>
        <v>0</v>
      </c>
      <c r="AH107" s="173">
        <f t="shared" si="223"/>
        <v>0</v>
      </c>
      <c r="AI107" s="173">
        <f t="shared" si="224"/>
        <v>7.8057016949152542</v>
      </c>
      <c r="AJ107" s="173">
        <f t="shared" si="225"/>
        <v>3.051671177288136</v>
      </c>
      <c r="AK107" s="174">
        <f>AK108+AK109+AK110+AK111</f>
        <v>0</v>
      </c>
      <c r="AL107" s="174">
        <f>AL108+AL109+AL110+AL111</f>
        <v>0</v>
      </c>
      <c r="AM107" s="174">
        <f>AM108+AM109+AM110+AM111</f>
        <v>0</v>
      </c>
      <c r="AN107" s="174">
        <f>AN108+AN109+AN110+AN111</f>
        <v>3.051671177288136</v>
      </c>
      <c r="AO107" s="173">
        <f t="shared" si="226"/>
        <v>2.0296610169491527</v>
      </c>
      <c r="AP107" s="174">
        <f>AP108+AP109+AP110+AP111</f>
        <v>0</v>
      </c>
      <c r="AQ107" s="174">
        <f>AQ108+AQ109+AQ110+AQ111</f>
        <v>0</v>
      </c>
      <c r="AR107" s="174">
        <f>AR108+AR109+AR110+AR111</f>
        <v>0</v>
      </c>
      <c r="AS107" s="174">
        <f>AS108+AS109+AS110+AS111</f>
        <v>2.0296610169491527</v>
      </c>
      <c r="AT107" s="109">
        <f t="shared" si="227"/>
        <v>1.1355932203389831</v>
      </c>
      <c r="AU107" s="113">
        <f>AU108+AU109+AU110+AU111</f>
        <v>0</v>
      </c>
      <c r="AV107" s="113">
        <f>AV108+AV109+AV110+AV111</f>
        <v>0</v>
      </c>
      <c r="AW107" s="113">
        <f>AW108+AW109+AW110+AW111</f>
        <v>0</v>
      </c>
      <c r="AX107" s="113">
        <f>AX108+AX109+AX110+AX111</f>
        <v>1.1355932203389831</v>
      </c>
      <c r="AY107" s="114">
        <f t="shared" si="228"/>
        <v>1.5887762803389824</v>
      </c>
      <c r="AZ107" s="113">
        <v>0</v>
      </c>
      <c r="BA107" s="113">
        <v>0</v>
      </c>
      <c r="BB107" s="113">
        <v>0</v>
      </c>
      <c r="BC107" s="113">
        <f t="shared" ref="BC107:BC111" si="231">AD107-AN107-AS107-AX107</f>
        <v>1.5887762803389824</v>
      </c>
    </row>
    <row r="108" spans="1:55" s="105" customFormat="1" ht="47.25">
      <c r="A108" s="239" t="s">
        <v>960</v>
      </c>
      <c r="B108" s="525" t="s">
        <v>961</v>
      </c>
      <c r="C108" s="204" t="s">
        <v>962</v>
      </c>
      <c r="D108" s="179">
        <f>'10'!G89</f>
        <v>2.0750000000000002</v>
      </c>
      <c r="E108" s="173">
        <f t="shared" si="211"/>
        <v>2.0750000000000002</v>
      </c>
      <c r="F108" s="173">
        <f t="shared" si="212"/>
        <v>0</v>
      </c>
      <c r="G108" s="173">
        <f t="shared" si="213"/>
        <v>0</v>
      </c>
      <c r="H108" s="173">
        <f t="shared" si="214"/>
        <v>0</v>
      </c>
      <c r="I108" s="173">
        <f t="shared" si="215"/>
        <v>2.0750000000000002</v>
      </c>
      <c r="J108" s="173">
        <f t="shared" si="216"/>
        <v>1.1950000000000001</v>
      </c>
      <c r="K108" s="174">
        <v>0</v>
      </c>
      <c r="L108" s="174">
        <v>0</v>
      </c>
      <c r="M108" s="174">
        <v>0</v>
      </c>
      <c r="N108" s="174">
        <f>'10'!J89</f>
        <v>1.1950000000000001</v>
      </c>
      <c r="O108" s="173">
        <f t="shared" si="217"/>
        <v>0.33</v>
      </c>
      <c r="P108" s="174">
        <v>0</v>
      </c>
      <c r="Q108" s="174">
        <v>0</v>
      </c>
      <c r="R108" s="174">
        <v>0</v>
      </c>
      <c r="S108" s="174">
        <f>'10'!L89</f>
        <v>0.33</v>
      </c>
      <c r="T108" s="173">
        <f t="shared" si="230"/>
        <v>0.28999999999999998</v>
      </c>
      <c r="U108" s="174">
        <v>0</v>
      </c>
      <c r="V108" s="174">
        <v>0</v>
      </c>
      <c r="W108" s="174">
        <v>0</v>
      </c>
      <c r="X108" s="174">
        <f>'10'!N89</f>
        <v>0.28999999999999998</v>
      </c>
      <c r="Y108" s="173">
        <f t="shared" si="219"/>
        <v>0.26</v>
      </c>
      <c r="Z108" s="174">
        <v>0</v>
      </c>
      <c r="AA108" s="174">
        <v>0</v>
      </c>
      <c r="AB108" s="174">
        <v>0</v>
      </c>
      <c r="AC108" s="174">
        <f>'10'!P89</f>
        <v>0.26</v>
      </c>
      <c r="AD108" s="527">
        <f>'12'!H107</f>
        <v>1.9886000000000004</v>
      </c>
      <c r="AE108" s="173">
        <f t="shared" si="220"/>
        <v>1.9886000000000004</v>
      </c>
      <c r="AF108" s="173">
        <f t="shared" si="221"/>
        <v>0</v>
      </c>
      <c r="AG108" s="173">
        <f t="shared" si="222"/>
        <v>0</v>
      </c>
      <c r="AH108" s="173">
        <f t="shared" si="223"/>
        <v>0</v>
      </c>
      <c r="AI108" s="173">
        <f>AN108+AS108+AX108+BC108</f>
        <v>1.9886000000000004</v>
      </c>
      <c r="AJ108" s="173">
        <f t="shared" si="225"/>
        <v>1.0127118644067798</v>
      </c>
      <c r="AK108" s="174">
        <f t="shared" ref="AK108:AM111" si="232">K108</f>
        <v>0</v>
      </c>
      <c r="AL108" s="174">
        <f t="shared" si="232"/>
        <v>0</v>
      </c>
      <c r="AM108" s="174">
        <f t="shared" si="232"/>
        <v>0</v>
      </c>
      <c r="AN108" s="174">
        <f>'12'!K107</f>
        <v>1.0127118644067798</v>
      </c>
      <c r="AO108" s="173">
        <f>SUM(AP108:AS108)</f>
        <v>0.27966101694915257</v>
      </c>
      <c r="AP108" s="174">
        <f t="shared" ref="AP108:AR111" si="233">P108</f>
        <v>0</v>
      </c>
      <c r="AQ108" s="174">
        <f t="shared" si="233"/>
        <v>0</v>
      </c>
      <c r="AR108" s="174">
        <f t="shared" si="233"/>
        <v>0</v>
      </c>
      <c r="AS108" s="174">
        <f>'12'!M107</f>
        <v>0.27966101694915257</v>
      </c>
      <c r="AT108" s="109">
        <f t="shared" si="227"/>
        <v>0.24576271186440676</v>
      </c>
      <c r="AU108" s="113">
        <v>0</v>
      </c>
      <c r="AV108" s="113">
        <v>0</v>
      </c>
      <c r="AW108" s="113">
        <v>0</v>
      </c>
      <c r="AX108" s="113">
        <f>'12'!O107</f>
        <v>0.24576271186440676</v>
      </c>
      <c r="AY108" s="114">
        <f>SUM(AZ108:BC108)</f>
        <v>0.45046440677966115</v>
      </c>
      <c r="AZ108" s="113">
        <v>0</v>
      </c>
      <c r="BA108" s="113">
        <v>0</v>
      </c>
      <c r="BB108" s="113">
        <v>0</v>
      </c>
      <c r="BC108" s="113">
        <f t="shared" si="231"/>
        <v>0.45046440677966115</v>
      </c>
    </row>
    <row r="109" spans="1:55" s="105" customFormat="1" ht="47.25">
      <c r="A109" s="239" t="s">
        <v>963</v>
      </c>
      <c r="B109" s="525" t="s">
        <v>964</v>
      </c>
      <c r="C109" s="204" t="s">
        <v>965</v>
      </c>
      <c r="D109" s="179">
        <f>'10'!G90</f>
        <v>0.44499999999999995</v>
      </c>
      <c r="E109" s="173">
        <f t="shared" si="211"/>
        <v>0.44499999999999995</v>
      </c>
      <c r="F109" s="173">
        <f t="shared" si="212"/>
        <v>0</v>
      </c>
      <c r="G109" s="173">
        <f t="shared" si="213"/>
        <v>0</v>
      </c>
      <c r="H109" s="173">
        <f t="shared" si="214"/>
        <v>0</v>
      </c>
      <c r="I109" s="173">
        <f t="shared" si="215"/>
        <v>0.44499999999999995</v>
      </c>
      <c r="J109" s="173">
        <f t="shared" si="216"/>
        <v>0.25</v>
      </c>
      <c r="K109" s="174">
        <v>0</v>
      </c>
      <c r="L109" s="174">
        <v>0</v>
      </c>
      <c r="M109" s="174">
        <v>0</v>
      </c>
      <c r="N109" s="174">
        <f>'10'!J90</f>
        <v>0.25</v>
      </c>
      <c r="O109" s="173">
        <f t="shared" si="217"/>
        <v>9.5000000000000001E-2</v>
      </c>
      <c r="P109" s="174">
        <v>0</v>
      </c>
      <c r="Q109" s="174">
        <v>0</v>
      </c>
      <c r="R109" s="174">
        <v>0</v>
      </c>
      <c r="S109" s="174">
        <f>'10'!L90</f>
        <v>9.5000000000000001E-2</v>
      </c>
      <c r="T109" s="173">
        <f t="shared" si="230"/>
        <v>5.5E-2</v>
      </c>
      <c r="U109" s="174">
        <v>0</v>
      </c>
      <c r="V109" s="174">
        <v>0</v>
      </c>
      <c r="W109" s="174">
        <v>0</v>
      </c>
      <c r="X109" s="174">
        <f>'10'!N90</f>
        <v>5.5E-2</v>
      </c>
      <c r="Y109" s="173">
        <f t="shared" si="219"/>
        <v>4.4999999999999998E-2</v>
      </c>
      <c r="Z109" s="174">
        <v>0</v>
      </c>
      <c r="AA109" s="174">
        <v>0</v>
      </c>
      <c r="AB109" s="174">
        <v>0</v>
      </c>
      <c r="AC109" s="174">
        <f>'10'!P90</f>
        <v>4.4999999999999998E-2</v>
      </c>
      <c r="AD109" s="527">
        <f>'12'!H108</f>
        <v>0.42268813559322033</v>
      </c>
      <c r="AE109" s="173">
        <f t="shared" si="220"/>
        <v>0.42268813559322027</v>
      </c>
      <c r="AF109" s="173">
        <f t="shared" si="221"/>
        <v>0</v>
      </c>
      <c r="AG109" s="173">
        <f t="shared" si="222"/>
        <v>0</v>
      </c>
      <c r="AH109" s="173">
        <f t="shared" si="223"/>
        <v>0</v>
      </c>
      <c r="AI109" s="173">
        <f t="shared" si="224"/>
        <v>0.42268813559322027</v>
      </c>
      <c r="AJ109" s="173">
        <f t="shared" si="225"/>
        <v>0.21186440677966104</v>
      </c>
      <c r="AK109" s="174">
        <f t="shared" si="232"/>
        <v>0</v>
      </c>
      <c r="AL109" s="174">
        <f t="shared" si="232"/>
        <v>0</v>
      </c>
      <c r="AM109" s="174">
        <f t="shared" si="232"/>
        <v>0</v>
      </c>
      <c r="AN109" s="174">
        <f>'12'!K108</f>
        <v>0.21186440677966104</v>
      </c>
      <c r="AO109" s="173">
        <f>SUM(AP109:AS109)</f>
        <v>8.0508474576271194E-2</v>
      </c>
      <c r="AP109" s="174">
        <f t="shared" si="233"/>
        <v>0</v>
      </c>
      <c r="AQ109" s="174">
        <f t="shared" si="233"/>
        <v>0</v>
      </c>
      <c r="AR109" s="174">
        <f t="shared" si="233"/>
        <v>0</v>
      </c>
      <c r="AS109" s="174">
        <f>'12'!M108</f>
        <v>8.0508474576271194E-2</v>
      </c>
      <c r="AT109" s="109">
        <f t="shared" si="227"/>
        <v>4.6610169491525424E-2</v>
      </c>
      <c r="AU109" s="113">
        <v>0</v>
      </c>
      <c r="AV109" s="113">
        <v>0</v>
      </c>
      <c r="AW109" s="113">
        <v>0</v>
      </c>
      <c r="AX109" s="113">
        <f>'12'!O108</f>
        <v>4.6610169491525424E-2</v>
      </c>
      <c r="AY109" s="114">
        <f t="shared" si="228"/>
        <v>8.3705084745762673E-2</v>
      </c>
      <c r="AZ109" s="113">
        <v>0</v>
      </c>
      <c r="BA109" s="113">
        <v>0</v>
      </c>
      <c r="BB109" s="113">
        <v>0</v>
      </c>
      <c r="BC109" s="113">
        <f>AD109-AN109-AS109-AX109</f>
        <v>8.3705084745762673E-2</v>
      </c>
    </row>
    <row r="110" spans="1:55" s="105" customFormat="1" ht="47.25">
      <c r="A110" s="239" t="s">
        <v>966</v>
      </c>
      <c r="B110" s="525" t="s">
        <v>967</v>
      </c>
      <c r="C110" s="204" t="s">
        <v>968</v>
      </c>
      <c r="D110" s="179">
        <f>'10'!G91</f>
        <v>3.9950000000000001</v>
      </c>
      <c r="E110" s="173">
        <f t="shared" si="211"/>
        <v>3.9949999999999997</v>
      </c>
      <c r="F110" s="173">
        <f t="shared" si="212"/>
        <v>0</v>
      </c>
      <c r="G110" s="173">
        <f t="shared" si="213"/>
        <v>0</v>
      </c>
      <c r="H110" s="173">
        <f t="shared" si="214"/>
        <v>0</v>
      </c>
      <c r="I110" s="173">
        <f t="shared" si="215"/>
        <v>3.9949999999999997</v>
      </c>
      <c r="J110" s="173">
        <f t="shared" si="216"/>
        <v>1.5</v>
      </c>
      <c r="K110" s="174">
        <v>0</v>
      </c>
      <c r="L110" s="174">
        <v>0</v>
      </c>
      <c r="M110" s="174">
        <v>0</v>
      </c>
      <c r="N110" s="174">
        <f>'10'!J91</f>
        <v>1.5</v>
      </c>
      <c r="O110" s="173">
        <f t="shared" si="217"/>
        <v>1.5</v>
      </c>
      <c r="P110" s="174">
        <v>0</v>
      </c>
      <c r="Q110" s="174">
        <v>0</v>
      </c>
      <c r="R110" s="174">
        <v>0</v>
      </c>
      <c r="S110" s="174">
        <f>'10'!L91</f>
        <v>1.5</v>
      </c>
      <c r="T110" s="173">
        <f t="shared" si="230"/>
        <v>0.69499999999999995</v>
      </c>
      <c r="U110" s="174">
        <v>0</v>
      </c>
      <c r="V110" s="174">
        <v>0</v>
      </c>
      <c r="W110" s="174">
        <v>0</v>
      </c>
      <c r="X110" s="174">
        <f>'10'!N91</f>
        <v>0.69499999999999995</v>
      </c>
      <c r="Y110" s="173">
        <f t="shared" si="219"/>
        <v>0.3</v>
      </c>
      <c r="Z110" s="174">
        <v>0</v>
      </c>
      <c r="AA110" s="174">
        <v>0</v>
      </c>
      <c r="AB110" s="174">
        <v>0</v>
      </c>
      <c r="AC110" s="174">
        <f>'10'!P91</f>
        <v>0.3</v>
      </c>
      <c r="AD110" s="527">
        <f>'12'!H109</f>
        <v>3.8465152542372882</v>
      </c>
      <c r="AE110" s="173">
        <f t="shared" si="220"/>
        <v>3.8465152542372882</v>
      </c>
      <c r="AF110" s="173">
        <f t="shared" si="221"/>
        <v>0</v>
      </c>
      <c r="AG110" s="173">
        <f t="shared" si="222"/>
        <v>0</v>
      </c>
      <c r="AH110" s="173">
        <f t="shared" si="223"/>
        <v>0</v>
      </c>
      <c r="AI110" s="173">
        <f t="shared" si="224"/>
        <v>3.8465152542372882</v>
      </c>
      <c r="AJ110" s="173">
        <f t="shared" si="225"/>
        <v>1.3864169399999999</v>
      </c>
      <c r="AK110" s="174">
        <f t="shared" si="232"/>
        <v>0</v>
      </c>
      <c r="AL110" s="174">
        <f t="shared" si="232"/>
        <v>0</v>
      </c>
      <c r="AM110" s="174">
        <f t="shared" si="232"/>
        <v>0</v>
      </c>
      <c r="AN110" s="174">
        <f>'12'!K109</f>
        <v>1.3864169399999999</v>
      </c>
      <c r="AO110" s="173">
        <f>SUM(AP110:AS110)</f>
        <v>1.2711864406779663</v>
      </c>
      <c r="AP110" s="174">
        <f t="shared" si="233"/>
        <v>0</v>
      </c>
      <c r="AQ110" s="174">
        <f t="shared" si="233"/>
        <v>0</v>
      </c>
      <c r="AR110" s="174">
        <f t="shared" si="233"/>
        <v>0</v>
      </c>
      <c r="AS110" s="174">
        <f>'12'!M109</f>
        <v>1.2711864406779663</v>
      </c>
      <c r="AT110" s="109">
        <f t="shared" si="227"/>
        <v>0.58898305084745761</v>
      </c>
      <c r="AU110" s="113">
        <v>0</v>
      </c>
      <c r="AV110" s="113">
        <v>0</v>
      </c>
      <c r="AW110" s="113">
        <v>0</v>
      </c>
      <c r="AX110" s="113">
        <f>'12'!O109</f>
        <v>0.58898305084745761</v>
      </c>
      <c r="AY110" s="114">
        <f t="shared" si="228"/>
        <v>0.59992882271186421</v>
      </c>
      <c r="AZ110" s="113">
        <v>0</v>
      </c>
      <c r="BA110" s="113">
        <v>0</v>
      </c>
      <c r="BB110" s="113">
        <v>0</v>
      </c>
      <c r="BC110" s="113">
        <f t="shared" si="231"/>
        <v>0.59992882271186421</v>
      </c>
    </row>
    <row r="111" spans="1:55" s="105" customFormat="1" ht="63">
      <c r="A111" s="239" t="s">
        <v>969</v>
      </c>
      <c r="B111" s="525" t="s">
        <v>970</v>
      </c>
      <c r="C111" s="204" t="s">
        <v>971</v>
      </c>
      <c r="D111" s="179">
        <f>'10'!G92</f>
        <v>1.59</v>
      </c>
      <c r="E111" s="173">
        <f t="shared" si="211"/>
        <v>1.59</v>
      </c>
      <c r="F111" s="173">
        <f t="shared" si="212"/>
        <v>0</v>
      </c>
      <c r="G111" s="173">
        <f t="shared" si="213"/>
        <v>0</v>
      </c>
      <c r="H111" s="173">
        <f t="shared" si="214"/>
        <v>0</v>
      </c>
      <c r="I111" s="173">
        <f t="shared" si="215"/>
        <v>1.59</v>
      </c>
      <c r="J111" s="173">
        <f t="shared" si="216"/>
        <v>0.52</v>
      </c>
      <c r="K111" s="174">
        <v>0</v>
      </c>
      <c r="L111" s="174">
        <v>0</v>
      </c>
      <c r="M111" s="174">
        <v>0</v>
      </c>
      <c r="N111" s="174">
        <f>'10'!J92</f>
        <v>0.52</v>
      </c>
      <c r="O111" s="173">
        <f t="shared" si="217"/>
        <v>0.47</v>
      </c>
      <c r="P111" s="174">
        <v>0</v>
      </c>
      <c r="Q111" s="174">
        <v>0</v>
      </c>
      <c r="R111" s="174">
        <v>0</v>
      </c>
      <c r="S111" s="174">
        <f>'10'!L92</f>
        <v>0.47</v>
      </c>
      <c r="T111" s="173">
        <f t="shared" si="230"/>
        <v>0.3</v>
      </c>
      <c r="U111" s="174">
        <v>0</v>
      </c>
      <c r="V111" s="174">
        <v>0</v>
      </c>
      <c r="W111" s="174">
        <v>0</v>
      </c>
      <c r="X111" s="174">
        <f>'10'!N92</f>
        <v>0.3</v>
      </c>
      <c r="Y111" s="173">
        <f t="shared" si="219"/>
        <v>0.3</v>
      </c>
      <c r="Z111" s="174">
        <v>0</v>
      </c>
      <c r="AA111" s="174">
        <v>0</v>
      </c>
      <c r="AB111" s="174">
        <v>0</v>
      </c>
      <c r="AC111" s="174">
        <f>'10'!P92</f>
        <v>0.3</v>
      </c>
      <c r="AD111" s="527">
        <f>'12'!H110</f>
        <v>1.5478983050847459</v>
      </c>
      <c r="AE111" s="173">
        <f t="shared" si="220"/>
        <v>1.5478983050847457</v>
      </c>
      <c r="AF111" s="173">
        <f t="shared" si="221"/>
        <v>0</v>
      </c>
      <c r="AG111" s="173">
        <f t="shared" si="222"/>
        <v>0</v>
      </c>
      <c r="AH111" s="173">
        <f t="shared" si="223"/>
        <v>0</v>
      </c>
      <c r="AI111" s="173">
        <f t="shared" si="224"/>
        <v>1.5478983050847457</v>
      </c>
      <c r="AJ111" s="173">
        <f t="shared" si="225"/>
        <v>0.44067796610169496</v>
      </c>
      <c r="AK111" s="174">
        <f t="shared" si="232"/>
        <v>0</v>
      </c>
      <c r="AL111" s="174">
        <f t="shared" si="232"/>
        <v>0</v>
      </c>
      <c r="AM111" s="174">
        <f t="shared" si="232"/>
        <v>0</v>
      </c>
      <c r="AN111" s="174">
        <f>'12'!K110</f>
        <v>0.44067796610169496</v>
      </c>
      <c r="AO111" s="173">
        <f>SUM(AP111:AS111)</f>
        <v>0.39830508474576271</v>
      </c>
      <c r="AP111" s="174">
        <f t="shared" si="233"/>
        <v>0</v>
      </c>
      <c r="AQ111" s="174">
        <f t="shared" si="233"/>
        <v>0</v>
      </c>
      <c r="AR111" s="174">
        <f t="shared" si="233"/>
        <v>0</v>
      </c>
      <c r="AS111" s="174">
        <f>'12'!M110</f>
        <v>0.39830508474576271</v>
      </c>
      <c r="AT111" s="109">
        <f t="shared" si="227"/>
        <v>0.25423728813559321</v>
      </c>
      <c r="AU111" s="113">
        <v>0</v>
      </c>
      <c r="AV111" s="113">
        <v>0</v>
      </c>
      <c r="AW111" s="113">
        <v>0</v>
      </c>
      <c r="AX111" s="113">
        <f>'12'!O110</f>
        <v>0.25423728813559321</v>
      </c>
      <c r="AY111" s="114">
        <f>SUM(AZ111:BC111)</f>
        <v>0.45467796610169486</v>
      </c>
      <c r="AZ111" s="113">
        <v>0</v>
      </c>
      <c r="BA111" s="113">
        <v>0</v>
      </c>
      <c r="BB111" s="113">
        <v>0</v>
      </c>
      <c r="BC111" s="113">
        <f t="shared" si="231"/>
        <v>0.45467796610169486</v>
      </c>
    </row>
    <row r="112" spans="1:55" s="65" customFormat="1" ht="47.25" customHeight="1">
      <c r="A112" s="713" t="s">
        <v>21</v>
      </c>
      <c r="B112" s="713"/>
      <c r="C112" s="713"/>
      <c r="D112" s="173">
        <v>0</v>
      </c>
      <c r="E112" s="173">
        <v>0</v>
      </c>
      <c r="F112" s="173">
        <v>0</v>
      </c>
      <c r="G112" s="173">
        <v>0</v>
      </c>
      <c r="H112" s="173">
        <v>0</v>
      </c>
      <c r="I112" s="173">
        <v>0</v>
      </c>
      <c r="J112" s="173">
        <v>0</v>
      </c>
      <c r="K112" s="173">
        <f>K23</f>
        <v>0.63507963440000004</v>
      </c>
      <c r="L112" s="173">
        <f>L23</f>
        <v>3.8707122680000001</v>
      </c>
      <c r="M112" s="173">
        <f>M23</f>
        <v>0.57724975999999995</v>
      </c>
      <c r="N112" s="173">
        <f>N23</f>
        <v>3.7414932930000004</v>
      </c>
      <c r="O112" s="173">
        <v>0</v>
      </c>
      <c r="P112" s="173">
        <f t="shared" ref="P112:X112" si="234">P23</f>
        <v>0.20699988539999997</v>
      </c>
      <c r="Q112" s="173">
        <f t="shared" si="234"/>
        <v>1.3252706808000001</v>
      </c>
      <c r="R112" s="173">
        <f t="shared" si="234"/>
        <v>1.1235729399999999</v>
      </c>
      <c r="S112" s="173">
        <f t="shared" si="234"/>
        <v>2.6714932899999999</v>
      </c>
      <c r="T112" s="173">
        <f t="shared" si="234"/>
        <v>2.7996412846000003</v>
      </c>
      <c r="U112" s="173">
        <f t="shared" si="234"/>
        <v>0.36200001400000004</v>
      </c>
      <c r="V112" s="173">
        <f t="shared" si="234"/>
        <v>0.36944243480000005</v>
      </c>
      <c r="W112" s="173">
        <f t="shared" si="234"/>
        <v>0.4517055458</v>
      </c>
      <c r="X112" s="173">
        <f t="shared" si="234"/>
        <v>1.6164932900000002</v>
      </c>
      <c r="Y112" s="173">
        <v>0</v>
      </c>
      <c r="Z112" s="173">
        <f>Z23</f>
        <v>0.311</v>
      </c>
      <c r="AA112" s="173">
        <f>AA23</f>
        <v>0.13674325879999999</v>
      </c>
      <c r="AB112" s="173">
        <f>AB23</f>
        <v>1.3999510670000002</v>
      </c>
      <c r="AC112" s="173">
        <f>AC23</f>
        <v>0.90500000000000003</v>
      </c>
      <c r="AD112" s="173">
        <v>0</v>
      </c>
      <c r="AE112" s="173">
        <v>0</v>
      </c>
      <c r="AF112" s="173">
        <v>0</v>
      </c>
      <c r="AG112" s="173">
        <v>0</v>
      </c>
      <c r="AH112" s="173">
        <v>0</v>
      </c>
      <c r="AI112" s="173">
        <v>0</v>
      </c>
      <c r="AJ112" s="173">
        <v>0</v>
      </c>
      <c r="AK112" s="173">
        <f>AK23</f>
        <v>0.57220307999999998</v>
      </c>
      <c r="AL112" s="173">
        <f>AL23</f>
        <v>5.3110139999999993E-2</v>
      </c>
      <c r="AM112" s="173">
        <f>AM23</f>
        <v>8.2432000000000005E-2</v>
      </c>
      <c r="AN112" s="173">
        <f>AN23</f>
        <v>3.2859875272881358</v>
      </c>
      <c r="AO112" s="173">
        <v>0</v>
      </c>
      <c r="AP112" s="173">
        <f t="shared" ref="AP112:AY112" si="235">AP23</f>
        <v>9.7457530000000001E-2</v>
      </c>
      <c r="AQ112" s="173">
        <f t="shared" si="235"/>
        <v>0.10515203016949154</v>
      </c>
      <c r="AR112" s="173">
        <f t="shared" si="235"/>
        <v>0.95218045762711878</v>
      </c>
      <c r="AS112" s="173">
        <f t="shared" si="235"/>
        <v>2.26397736440678</v>
      </c>
      <c r="AT112" s="173">
        <f t="shared" si="235"/>
        <v>2.4433535977966105</v>
      </c>
      <c r="AU112" s="114">
        <f t="shared" si="235"/>
        <v>0.3162373</v>
      </c>
      <c r="AV112" s="114">
        <f t="shared" si="235"/>
        <v>0.37440541999999999</v>
      </c>
      <c r="AW112" s="114">
        <f t="shared" si="235"/>
        <v>0.38280131000000001</v>
      </c>
      <c r="AX112" s="114">
        <f>AX23</f>
        <v>1.3699095677966102</v>
      </c>
      <c r="AY112" s="114">
        <f t="shared" si="235"/>
        <v>8.6929320982711857</v>
      </c>
      <c r="AZ112" s="113">
        <f>AZ23</f>
        <v>0.43437288200000002</v>
      </c>
      <c r="BA112" s="113">
        <f>BA23</f>
        <v>0.74570429271186434</v>
      </c>
      <c r="BB112" s="113">
        <f>BB23</f>
        <v>5.8618738618644075</v>
      </c>
      <c r="BC112" s="113">
        <f>BC23</f>
        <v>1.6509810616949148</v>
      </c>
    </row>
  </sheetData>
  <autoFilter ref="A22:BC112"/>
  <mergeCells count="27">
    <mergeCell ref="AT20:AX20"/>
    <mergeCell ref="A6:BC6"/>
    <mergeCell ref="A7:BC7"/>
    <mergeCell ref="A8:BC8"/>
    <mergeCell ref="A10:BC10"/>
    <mergeCell ref="A12:BC12"/>
    <mergeCell ref="A14:BC14"/>
    <mergeCell ref="A15:BC15"/>
    <mergeCell ref="E19:AC19"/>
    <mergeCell ref="D18:AC18"/>
    <mergeCell ref="A18:A21"/>
    <mergeCell ref="T20:X20"/>
    <mergeCell ref="Y20:AC20"/>
    <mergeCell ref="AY20:BC20"/>
    <mergeCell ref="AD18:BC18"/>
    <mergeCell ref="AE19:BC19"/>
    <mergeCell ref="AO20:AS20"/>
    <mergeCell ref="A112:C112"/>
    <mergeCell ref="D20:D21"/>
    <mergeCell ref="E20:I20"/>
    <mergeCell ref="J20:N20"/>
    <mergeCell ref="O20:S20"/>
    <mergeCell ref="C18:C21"/>
    <mergeCell ref="B18:B21"/>
    <mergeCell ref="AD20:AD21"/>
    <mergeCell ref="AE20:AI20"/>
    <mergeCell ref="AJ20:AN20"/>
  </mergeCells>
  <pageMargins left="0.21" right="0.2" top="0.33" bottom="0.28000000000000003" header="0.31496062992125984" footer="0.31496062992125984"/>
  <pageSetup paperSize="9" scale="20" fitToHeight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107"/>
  <sheetViews>
    <sheetView topLeftCell="K7" zoomScale="60" zoomScaleNormal="60" workbookViewId="0">
      <selection activeCell="AQ15" sqref="AQ15"/>
    </sheetView>
  </sheetViews>
  <sheetFormatPr defaultRowHeight="15.75"/>
  <cols>
    <col min="1" max="1" width="9.140625" style="7"/>
    <col min="2" max="2" width="41.42578125" style="54" customWidth="1"/>
    <col min="3" max="3" width="24" style="54" customWidth="1"/>
    <col min="4" max="42" width="16.7109375" style="54" customWidth="1"/>
    <col min="43" max="55" width="16.7109375" style="51" customWidth="1"/>
    <col min="56" max="16384" width="9.140625" style="51"/>
  </cols>
  <sheetData>
    <row r="1" spans="1:55">
      <c r="BC1" s="7" t="s">
        <v>630</v>
      </c>
    </row>
    <row r="2" spans="1:55">
      <c r="BC2" s="7" t="s">
        <v>23</v>
      </c>
    </row>
    <row r="3" spans="1:55">
      <c r="BC3" s="7" t="s">
        <v>24</v>
      </c>
    </row>
    <row r="6" spans="1:55">
      <c r="A6" s="691" t="s">
        <v>631</v>
      </c>
      <c r="B6" s="691"/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1"/>
      <c r="X6" s="691"/>
      <c r="Y6" s="691"/>
      <c r="Z6" s="691"/>
      <c r="AA6" s="691"/>
      <c r="AB6" s="691"/>
      <c r="AC6" s="691"/>
      <c r="AD6" s="691"/>
      <c r="AE6" s="691"/>
      <c r="AF6" s="691"/>
      <c r="AG6" s="691"/>
      <c r="AH6" s="691"/>
      <c r="AI6" s="691"/>
      <c r="AJ6" s="691"/>
      <c r="AK6" s="691"/>
      <c r="AL6" s="691"/>
      <c r="AM6" s="691"/>
      <c r="AN6" s="691"/>
      <c r="AO6" s="691"/>
      <c r="AP6" s="691"/>
    </row>
    <row r="7" spans="1:55">
      <c r="A7" s="691" t="s">
        <v>495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91"/>
      <c r="AO7" s="691"/>
      <c r="AP7" s="691"/>
    </row>
    <row r="8" spans="1:55">
      <c r="A8" s="691" t="s">
        <v>1188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691"/>
      <c r="AJ8" s="691"/>
      <c r="AK8" s="691"/>
      <c r="AL8" s="691"/>
      <c r="AM8" s="691"/>
      <c r="AN8" s="691"/>
      <c r="AO8" s="691"/>
      <c r="AP8" s="691"/>
    </row>
    <row r="10" spans="1:55">
      <c r="A10" s="694" t="s">
        <v>727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4"/>
      <c r="AF10" s="694"/>
      <c r="AG10" s="694"/>
      <c r="AH10" s="694"/>
      <c r="AI10" s="694"/>
      <c r="AJ10" s="694"/>
      <c r="AK10" s="694"/>
      <c r="AL10" s="694"/>
      <c r="AM10" s="694"/>
      <c r="AN10" s="694"/>
      <c r="AO10" s="694"/>
      <c r="AP10" s="694"/>
    </row>
    <row r="12" spans="1:55">
      <c r="A12" s="693" t="s">
        <v>725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3"/>
      <c r="AA12" s="693"/>
      <c r="AB12" s="693"/>
      <c r="AC12" s="693"/>
      <c r="AD12" s="693"/>
      <c r="AE12" s="693"/>
      <c r="AF12" s="693"/>
      <c r="AG12" s="693"/>
      <c r="AH12" s="693"/>
      <c r="AI12" s="693"/>
      <c r="AJ12" s="693"/>
      <c r="AK12" s="693"/>
      <c r="AL12" s="693"/>
      <c r="AM12" s="693"/>
      <c r="AN12" s="693"/>
      <c r="AO12" s="693"/>
      <c r="AP12" s="693"/>
    </row>
    <row r="14" spans="1:55">
      <c r="A14" s="693" t="s">
        <v>34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  <c r="AL14" s="693"/>
      <c r="AM14" s="693"/>
      <c r="AN14" s="693"/>
      <c r="AO14" s="693"/>
      <c r="AP14" s="693"/>
    </row>
    <row r="15" spans="1:55">
      <c r="A15" s="692" t="s">
        <v>1190</v>
      </c>
      <c r="B15" s="692"/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2"/>
      <c r="R15" s="692"/>
      <c r="S15" s="692"/>
      <c r="T15" s="692"/>
      <c r="U15" s="692"/>
      <c r="V15" s="692"/>
      <c r="W15" s="692"/>
      <c r="X15" s="692"/>
      <c r="Y15" s="692"/>
      <c r="Z15" s="692"/>
      <c r="AA15" s="692"/>
      <c r="AB15" s="692"/>
      <c r="AC15" s="692"/>
      <c r="AD15" s="692"/>
      <c r="AE15" s="692"/>
      <c r="AF15" s="692"/>
      <c r="AG15" s="692"/>
      <c r="AH15" s="692"/>
      <c r="AI15" s="692"/>
      <c r="AJ15" s="692"/>
      <c r="AK15" s="692"/>
      <c r="AL15" s="692"/>
      <c r="AM15" s="692"/>
      <c r="AN15" s="692"/>
      <c r="AO15" s="692"/>
      <c r="AP15" s="692"/>
    </row>
    <row r="18" spans="1:55" s="273" customFormat="1">
      <c r="A18" s="695" t="s">
        <v>0</v>
      </c>
      <c r="B18" s="695" t="s">
        <v>1</v>
      </c>
      <c r="C18" s="695" t="s">
        <v>2</v>
      </c>
      <c r="D18" s="706" t="s">
        <v>632</v>
      </c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707"/>
      <c r="Z18" s="707"/>
      <c r="AA18" s="707"/>
      <c r="AB18" s="707"/>
      <c r="AC18" s="707"/>
      <c r="AD18" s="707"/>
      <c r="AE18" s="707"/>
      <c r="AF18" s="707"/>
      <c r="AG18" s="707"/>
      <c r="AH18" s="707"/>
      <c r="AI18" s="707"/>
      <c r="AJ18" s="707"/>
      <c r="AK18" s="707"/>
      <c r="AL18" s="707"/>
      <c r="AM18" s="707"/>
      <c r="AN18" s="707"/>
      <c r="AO18" s="707"/>
      <c r="AP18" s="707"/>
      <c r="AQ18" s="707"/>
      <c r="AR18" s="707"/>
      <c r="AS18" s="707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</row>
    <row r="19" spans="1:55" s="63" customFormat="1" ht="77.25" customHeight="1">
      <c r="A19" s="695"/>
      <c r="B19" s="695"/>
      <c r="C19" s="695"/>
      <c r="D19" s="706" t="s">
        <v>94</v>
      </c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8"/>
      <c r="T19" s="706" t="s">
        <v>95</v>
      </c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8"/>
      <c r="AH19" s="695" t="s">
        <v>96</v>
      </c>
      <c r="AI19" s="695"/>
      <c r="AJ19" s="695"/>
      <c r="AK19" s="695"/>
      <c r="AL19" s="695"/>
      <c r="AM19" s="695"/>
      <c r="AN19" s="695" t="s">
        <v>97</v>
      </c>
      <c r="AO19" s="695"/>
      <c r="AP19" s="695"/>
      <c r="AQ19" s="695"/>
      <c r="AR19" s="695" t="s">
        <v>98</v>
      </c>
      <c r="AS19" s="695"/>
      <c r="AT19" s="695"/>
      <c r="AU19" s="695"/>
      <c r="AV19" s="695"/>
      <c r="AW19" s="695"/>
      <c r="AX19" s="695" t="s">
        <v>99</v>
      </c>
      <c r="AY19" s="695"/>
      <c r="AZ19" s="695"/>
      <c r="BA19" s="695"/>
      <c r="BB19" s="695" t="s">
        <v>100</v>
      </c>
      <c r="BC19" s="695"/>
    </row>
    <row r="20" spans="1:55" s="63" customFormat="1" ht="185.25" customHeight="1">
      <c r="A20" s="695"/>
      <c r="B20" s="695"/>
      <c r="C20" s="695"/>
      <c r="D20" s="735" t="s">
        <v>972</v>
      </c>
      <c r="E20" s="747"/>
      <c r="F20" s="735" t="s">
        <v>973</v>
      </c>
      <c r="G20" s="734"/>
      <c r="H20" s="735" t="s">
        <v>974</v>
      </c>
      <c r="I20" s="736"/>
      <c r="J20" s="736"/>
      <c r="K20" s="734"/>
      <c r="L20" s="735" t="s">
        <v>975</v>
      </c>
      <c r="M20" s="734"/>
      <c r="N20" s="735" t="s">
        <v>976</v>
      </c>
      <c r="O20" s="734"/>
      <c r="P20" s="735" t="s">
        <v>977</v>
      </c>
      <c r="Q20" s="734"/>
      <c r="R20" s="735" t="s">
        <v>978</v>
      </c>
      <c r="S20" s="734"/>
      <c r="T20" s="735" t="s">
        <v>981</v>
      </c>
      <c r="U20" s="740"/>
      <c r="V20" s="733" t="s">
        <v>982</v>
      </c>
      <c r="W20" s="736"/>
      <c r="X20" s="736"/>
      <c r="Y20" s="740"/>
      <c r="Z20" s="733" t="s">
        <v>983</v>
      </c>
      <c r="AA20" s="736"/>
      <c r="AB20" s="736"/>
      <c r="AC20" s="740"/>
      <c r="AD20" s="733" t="s">
        <v>984</v>
      </c>
      <c r="AE20" s="740"/>
      <c r="AF20" s="733" t="s">
        <v>985</v>
      </c>
      <c r="AG20" s="734"/>
      <c r="AH20" s="735" t="s">
        <v>986</v>
      </c>
      <c r="AI20" s="734"/>
      <c r="AJ20" s="735" t="s">
        <v>987</v>
      </c>
      <c r="AK20" s="734"/>
      <c r="AL20" s="735" t="s">
        <v>988</v>
      </c>
      <c r="AM20" s="734"/>
      <c r="AN20" s="735" t="s">
        <v>989</v>
      </c>
      <c r="AO20" s="740"/>
      <c r="AP20" s="733" t="s">
        <v>990</v>
      </c>
      <c r="AQ20" s="734"/>
      <c r="AR20" s="735" t="s">
        <v>991</v>
      </c>
      <c r="AS20" s="740"/>
      <c r="AT20" s="733" t="s">
        <v>992</v>
      </c>
      <c r="AU20" s="740"/>
      <c r="AV20" s="733" t="s">
        <v>993</v>
      </c>
      <c r="AW20" s="734"/>
      <c r="AX20" s="735" t="s">
        <v>994</v>
      </c>
      <c r="AY20" s="740"/>
      <c r="AZ20" s="733" t="s">
        <v>995</v>
      </c>
      <c r="BA20" s="734"/>
      <c r="BB20" s="695" t="s">
        <v>996</v>
      </c>
      <c r="BC20" s="695"/>
    </row>
    <row r="21" spans="1:55" s="273" customFormat="1" ht="15.75" customHeight="1">
      <c r="A21" s="695"/>
      <c r="B21" s="695"/>
      <c r="C21" s="695"/>
      <c r="D21" s="722" t="s">
        <v>979</v>
      </c>
      <c r="E21" s="741"/>
      <c r="F21" s="744"/>
      <c r="G21" s="745"/>
      <c r="H21" s="722" t="s">
        <v>979</v>
      </c>
      <c r="I21" s="723"/>
      <c r="J21" s="723"/>
      <c r="K21" s="737"/>
      <c r="L21" s="164"/>
      <c r="M21" s="165"/>
      <c r="N21" s="164"/>
      <c r="O21" s="165"/>
      <c r="P21" s="164"/>
      <c r="Q21" s="165"/>
      <c r="R21" s="164"/>
      <c r="S21" s="165"/>
      <c r="T21" s="160"/>
      <c r="U21" s="160"/>
      <c r="V21" s="722" t="s">
        <v>979</v>
      </c>
      <c r="W21" s="723"/>
      <c r="X21" s="723"/>
      <c r="Y21" s="724"/>
      <c r="Z21" s="719" t="s">
        <v>979</v>
      </c>
      <c r="AA21" s="720"/>
      <c r="AB21" s="720"/>
      <c r="AC21" s="721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</row>
    <row r="22" spans="1:55" s="273" customFormat="1">
      <c r="A22" s="695"/>
      <c r="B22" s="695"/>
      <c r="C22" s="695"/>
      <c r="D22" s="742" t="s">
        <v>980</v>
      </c>
      <c r="E22" s="743"/>
      <c r="F22" s="744"/>
      <c r="G22" s="745"/>
      <c r="H22" s="738" t="s">
        <v>980</v>
      </c>
      <c r="I22" s="739"/>
      <c r="J22" s="746">
        <v>0.4</v>
      </c>
      <c r="K22" s="746"/>
      <c r="L22" s="164"/>
      <c r="M22" s="165"/>
      <c r="N22" s="164"/>
      <c r="O22" s="165"/>
      <c r="P22" s="164"/>
      <c r="Q22" s="165"/>
      <c r="R22" s="164"/>
      <c r="S22" s="165"/>
      <c r="T22" s="160"/>
      <c r="U22" s="160"/>
      <c r="V22" s="725" t="s">
        <v>980</v>
      </c>
      <c r="W22" s="726"/>
      <c r="X22" s="727">
        <v>0.4</v>
      </c>
      <c r="Y22" s="728"/>
      <c r="Z22" s="731" t="s">
        <v>980</v>
      </c>
      <c r="AA22" s="732"/>
      <c r="AB22" s="729">
        <v>110</v>
      </c>
      <c r="AC22" s="73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</row>
    <row r="23" spans="1:55" s="273" customFormat="1">
      <c r="A23" s="695"/>
      <c r="B23" s="695"/>
      <c r="C23" s="695"/>
      <c r="D23" s="160" t="s">
        <v>11</v>
      </c>
      <c r="E23" s="160" t="s">
        <v>12</v>
      </c>
      <c r="F23" s="160" t="s">
        <v>11</v>
      </c>
      <c r="G23" s="160" t="s">
        <v>12</v>
      </c>
      <c r="H23" s="160" t="s">
        <v>11</v>
      </c>
      <c r="I23" s="160" t="s">
        <v>12</v>
      </c>
      <c r="J23" s="160" t="s">
        <v>11</v>
      </c>
      <c r="K23" s="160" t="s">
        <v>12</v>
      </c>
      <c r="L23" s="160" t="s">
        <v>11</v>
      </c>
      <c r="M23" s="160" t="s">
        <v>12</v>
      </c>
      <c r="N23" s="160" t="s">
        <v>11</v>
      </c>
      <c r="O23" s="160" t="s">
        <v>12</v>
      </c>
      <c r="P23" s="160" t="s">
        <v>11</v>
      </c>
      <c r="Q23" s="160" t="s">
        <v>12</v>
      </c>
      <c r="R23" s="160" t="s">
        <v>11</v>
      </c>
      <c r="S23" s="160" t="s">
        <v>12</v>
      </c>
      <c r="T23" s="160" t="s">
        <v>11</v>
      </c>
      <c r="U23" s="160" t="s">
        <v>12</v>
      </c>
      <c r="V23" s="160" t="s">
        <v>11</v>
      </c>
      <c r="W23" s="160"/>
      <c r="X23" s="160"/>
      <c r="Y23" s="160" t="s">
        <v>12</v>
      </c>
      <c r="Z23" s="160" t="s">
        <v>11</v>
      </c>
      <c r="AA23" s="160"/>
      <c r="AB23" s="160"/>
      <c r="AC23" s="160" t="s">
        <v>12</v>
      </c>
      <c r="AD23" s="160" t="s">
        <v>11</v>
      </c>
      <c r="AE23" s="160" t="s">
        <v>12</v>
      </c>
      <c r="AF23" s="160" t="s">
        <v>11</v>
      </c>
      <c r="AG23" s="160" t="s">
        <v>12</v>
      </c>
      <c r="AH23" s="160" t="s">
        <v>11</v>
      </c>
      <c r="AI23" s="160" t="s">
        <v>12</v>
      </c>
      <c r="AJ23" s="160" t="s">
        <v>11</v>
      </c>
      <c r="AK23" s="160" t="s">
        <v>12</v>
      </c>
      <c r="AL23" s="160" t="s">
        <v>11</v>
      </c>
      <c r="AM23" s="160" t="s">
        <v>12</v>
      </c>
      <c r="AN23" s="160" t="s">
        <v>11</v>
      </c>
      <c r="AO23" s="160" t="s">
        <v>12</v>
      </c>
      <c r="AP23" s="160" t="s">
        <v>11</v>
      </c>
      <c r="AQ23" s="160" t="s">
        <v>12</v>
      </c>
      <c r="AR23" s="160" t="s">
        <v>11</v>
      </c>
      <c r="AS23" s="160" t="s">
        <v>12</v>
      </c>
      <c r="AT23" s="160" t="s">
        <v>11</v>
      </c>
      <c r="AU23" s="160" t="s">
        <v>12</v>
      </c>
      <c r="AV23" s="160" t="s">
        <v>11</v>
      </c>
      <c r="AW23" s="160" t="s">
        <v>12</v>
      </c>
      <c r="AX23" s="160" t="s">
        <v>11</v>
      </c>
      <c r="AY23" s="160" t="s">
        <v>12</v>
      </c>
      <c r="AZ23" s="160" t="s">
        <v>11</v>
      </c>
      <c r="BA23" s="160" t="s">
        <v>12</v>
      </c>
      <c r="BB23" s="160" t="s">
        <v>11</v>
      </c>
      <c r="BC23" s="160" t="s">
        <v>12</v>
      </c>
    </row>
    <row r="24" spans="1:55" s="273" customFormat="1">
      <c r="A24" s="160">
        <v>1</v>
      </c>
      <c r="B24" s="160">
        <v>2</v>
      </c>
      <c r="C24" s="160">
        <v>3</v>
      </c>
      <c r="D24" s="160">
        <v>4.0999999999999996</v>
      </c>
      <c r="E24" s="160">
        <v>4.2</v>
      </c>
      <c r="F24" s="160">
        <v>4.3</v>
      </c>
      <c r="G24" s="160">
        <v>4.4000000000000004</v>
      </c>
      <c r="H24" s="160">
        <v>4.5</v>
      </c>
      <c r="I24" s="160">
        <v>4.5999999999999996</v>
      </c>
      <c r="J24" s="160">
        <v>4.7</v>
      </c>
      <c r="K24" s="160">
        <v>4.8</v>
      </c>
      <c r="L24" s="160">
        <v>4.9000000000000004</v>
      </c>
      <c r="M24" s="107" t="s">
        <v>997</v>
      </c>
      <c r="N24" s="107" t="s">
        <v>998</v>
      </c>
      <c r="O24" s="107" t="s">
        <v>999</v>
      </c>
      <c r="P24" s="107" t="s">
        <v>1000</v>
      </c>
      <c r="Q24" s="107" t="s">
        <v>1001</v>
      </c>
      <c r="R24" s="107" t="s">
        <v>1002</v>
      </c>
      <c r="S24" s="107" t="s">
        <v>1003</v>
      </c>
      <c r="T24" s="160">
        <v>5.0999999999999996</v>
      </c>
      <c r="U24" s="160">
        <v>5.2</v>
      </c>
      <c r="V24" s="160">
        <v>5.3</v>
      </c>
      <c r="W24" s="160">
        <v>5.4</v>
      </c>
      <c r="X24" s="160">
        <v>5.5</v>
      </c>
      <c r="Y24" s="160">
        <v>5.6</v>
      </c>
      <c r="Z24" s="160">
        <v>5.7</v>
      </c>
      <c r="AA24" s="160">
        <v>5.8</v>
      </c>
      <c r="AB24" s="160">
        <v>5.9</v>
      </c>
      <c r="AC24" s="107" t="s">
        <v>1004</v>
      </c>
      <c r="AD24" s="107" t="s">
        <v>1005</v>
      </c>
      <c r="AE24" s="107" t="s">
        <v>1006</v>
      </c>
      <c r="AF24" s="107" t="s">
        <v>1007</v>
      </c>
      <c r="AG24" s="107" t="s">
        <v>1008</v>
      </c>
      <c r="AH24" s="160">
        <v>6.1</v>
      </c>
      <c r="AI24" s="160">
        <v>6.2</v>
      </c>
      <c r="AJ24" s="160">
        <v>6.3</v>
      </c>
      <c r="AK24" s="160">
        <v>6.4</v>
      </c>
      <c r="AL24" s="160">
        <v>6.5</v>
      </c>
      <c r="AM24" s="160">
        <v>6.6</v>
      </c>
      <c r="AN24" s="160">
        <v>7.1</v>
      </c>
      <c r="AO24" s="160">
        <v>7.2</v>
      </c>
      <c r="AP24" s="160">
        <v>7.3</v>
      </c>
      <c r="AQ24" s="160">
        <v>7.4</v>
      </c>
      <c r="AR24" s="160">
        <v>8.1</v>
      </c>
      <c r="AS24" s="160">
        <v>8.1999999999999993</v>
      </c>
      <c r="AT24" s="160">
        <v>8.3000000000000007</v>
      </c>
      <c r="AU24" s="160">
        <v>8.4</v>
      </c>
      <c r="AV24" s="160">
        <v>8.5</v>
      </c>
      <c r="AW24" s="160">
        <v>8.6</v>
      </c>
      <c r="AX24" s="160">
        <v>9.1</v>
      </c>
      <c r="AY24" s="160">
        <v>9.1999999999999993</v>
      </c>
      <c r="AZ24" s="160">
        <v>9.3000000000000007</v>
      </c>
      <c r="BA24" s="160">
        <v>9.4</v>
      </c>
      <c r="BB24" s="160">
        <v>10.1</v>
      </c>
      <c r="BC24" s="160">
        <v>10.199999999999999</v>
      </c>
    </row>
    <row r="25" spans="1:55" s="273" customFormat="1" ht="31.5">
      <c r="A25" s="135">
        <v>0</v>
      </c>
      <c r="B25" s="132" t="s">
        <v>21</v>
      </c>
      <c r="C25" s="138" t="s">
        <v>876</v>
      </c>
      <c r="D25" s="255">
        <v>0</v>
      </c>
      <c r="E25" s="254">
        <v>0</v>
      </c>
      <c r="F25" s="255">
        <v>0</v>
      </c>
      <c r="G25" s="254">
        <v>0</v>
      </c>
      <c r="H25" s="255">
        <v>0</v>
      </c>
      <c r="I25" s="254">
        <v>0</v>
      </c>
      <c r="J25" s="255">
        <v>0</v>
      </c>
      <c r="K25" s="254">
        <v>0</v>
      </c>
      <c r="L25" s="255">
        <v>0</v>
      </c>
      <c r="M25" s="254">
        <v>0</v>
      </c>
      <c r="N25" s="255">
        <v>0</v>
      </c>
      <c r="O25" s="254">
        <v>0</v>
      </c>
      <c r="P25" s="255">
        <v>0</v>
      </c>
      <c r="Q25" s="254">
        <v>0</v>
      </c>
      <c r="R25" s="255">
        <v>0</v>
      </c>
      <c r="S25" s="254">
        <v>0</v>
      </c>
      <c r="T25" s="255">
        <v>0</v>
      </c>
      <c r="U25" s="254">
        <v>0</v>
      </c>
      <c r="V25" s="255">
        <v>0</v>
      </c>
      <c r="W25" s="254">
        <v>0</v>
      </c>
      <c r="X25" s="255">
        <v>10.615</v>
      </c>
      <c r="Y25" s="254">
        <f>'13'!AR24</f>
        <v>7.5520000000000005</v>
      </c>
      <c r="Z25" s="255">
        <v>0</v>
      </c>
      <c r="AA25" s="254">
        <v>0</v>
      </c>
      <c r="AB25" s="255">
        <v>0</v>
      </c>
      <c r="AC25" s="254">
        <v>0</v>
      </c>
      <c r="AD25" s="255">
        <v>0</v>
      </c>
      <c r="AE25" s="254">
        <v>0</v>
      </c>
      <c r="AF25" s="255">
        <v>0</v>
      </c>
      <c r="AG25" s="254">
        <v>0</v>
      </c>
      <c r="AH25" s="255">
        <v>0</v>
      </c>
      <c r="AI25" s="254">
        <v>0</v>
      </c>
      <c r="AJ25" s="255">
        <v>0</v>
      </c>
      <c r="AK25" s="254">
        <v>0</v>
      </c>
      <c r="AL25" s="255">
        <v>0</v>
      </c>
      <c r="AM25" s="254">
        <v>0</v>
      </c>
      <c r="AN25" s="255">
        <v>0</v>
      </c>
      <c r="AO25" s="254">
        <v>0</v>
      </c>
      <c r="AP25" s="255">
        <v>0</v>
      </c>
      <c r="AQ25" s="254">
        <v>0</v>
      </c>
      <c r="AR25" s="255">
        <v>0</v>
      </c>
      <c r="AS25" s="254">
        <v>0</v>
      </c>
      <c r="AT25" s="255">
        <v>0</v>
      </c>
      <c r="AU25" s="254">
        <v>0</v>
      </c>
      <c r="AV25" s="255">
        <v>0</v>
      </c>
      <c r="AW25" s="254">
        <v>0</v>
      </c>
      <c r="AX25" s="256">
        <v>0</v>
      </c>
      <c r="AY25" s="254">
        <v>0</v>
      </c>
      <c r="AZ25" s="257">
        <f>'10'!G22</f>
        <v>27.223721273001797</v>
      </c>
      <c r="BA25" s="254">
        <f>'10'!H22</f>
        <v>19.704213827400004</v>
      </c>
      <c r="BB25" s="258">
        <v>0</v>
      </c>
      <c r="BC25" s="254">
        <v>0</v>
      </c>
    </row>
    <row r="26" spans="1:55" s="273" customFormat="1" ht="31.5">
      <c r="A26" s="135" t="s">
        <v>877</v>
      </c>
      <c r="B26" s="132" t="s">
        <v>878</v>
      </c>
      <c r="C26" s="138" t="s">
        <v>876</v>
      </c>
      <c r="D26" s="255">
        <v>0</v>
      </c>
      <c r="E26" s="254">
        <v>0</v>
      </c>
      <c r="F26" s="255">
        <v>0</v>
      </c>
      <c r="G26" s="254">
        <v>0</v>
      </c>
      <c r="H26" s="255">
        <v>0</v>
      </c>
      <c r="I26" s="254">
        <v>0</v>
      </c>
      <c r="J26" s="255">
        <v>0</v>
      </c>
      <c r="K26" s="254">
        <v>0</v>
      </c>
      <c r="L26" s="255">
        <v>0</v>
      </c>
      <c r="M26" s="254">
        <v>0</v>
      </c>
      <c r="N26" s="255">
        <v>0</v>
      </c>
      <c r="O26" s="254">
        <v>0</v>
      </c>
      <c r="P26" s="255">
        <v>0</v>
      </c>
      <c r="Q26" s="254">
        <v>0</v>
      </c>
      <c r="R26" s="255">
        <v>0</v>
      </c>
      <c r="S26" s="254">
        <v>0</v>
      </c>
      <c r="T26" s="255">
        <v>0</v>
      </c>
      <c r="U26" s="254">
        <v>0</v>
      </c>
      <c r="V26" s="255">
        <v>0</v>
      </c>
      <c r="W26" s="254">
        <v>0</v>
      </c>
      <c r="X26" s="255">
        <v>0</v>
      </c>
      <c r="Y26" s="254">
        <f>'13'!AR25</f>
        <v>4.777000000000001</v>
      </c>
      <c r="Z26" s="255">
        <v>0</v>
      </c>
      <c r="AA26" s="254">
        <v>0</v>
      </c>
      <c r="AB26" s="255">
        <v>0</v>
      </c>
      <c r="AC26" s="254">
        <v>0</v>
      </c>
      <c r="AD26" s="255">
        <v>0</v>
      </c>
      <c r="AE26" s="254">
        <v>0</v>
      </c>
      <c r="AF26" s="255">
        <v>0</v>
      </c>
      <c r="AG26" s="254">
        <v>0</v>
      </c>
      <c r="AH26" s="255">
        <v>0</v>
      </c>
      <c r="AI26" s="274">
        <v>0</v>
      </c>
      <c r="AJ26" s="255">
        <v>0</v>
      </c>
      <c r="AK26" s="254">
        <v>0</v>
      </c>
      <c r="AL26" s="255">
        <v>0</v>
      </c>
      <c r="AM26" s="254">
        <v>0</v>
      </c>
      <c r="AN26" s="255">
        <v>0</v>
      </c>
      <c r="AO26" s="254">
        <v>0</v>
      </c>
      <c r="AP26" s="255">
        <v>0</v>
      </c>
      <c r="AQ26" s="254">
        <v>0</v>
      </c>
      <c r="AR26" s="255">
        <v>0</v>
      </c>
      <c r="AS26" s="254">
        <v>0</v>
      </c>
      <c r="AT26" s="255">
        <v>0</v>
      </c>
      <c r="AU26" s="254">
        <v>0</v>
      </c>
      <c r="AV26" s="255">
        <v>0</v>
      </c>
      <c r="AW26" s="254">
        <v>0</v>
      </c>
      <c r="AX26" s="255">
        <v>0</v>
      </c>
      <c r="AY26" s="254">
        <v>0</v>
      </c>
      <c r="AZ26" s="259">
        <f>'10'!G23</f>
        <v>4.7309032000000002</v>
      </c>
      <c r="BA26" s="254">
        <f>'10'!H23</f>
        <v>3.3264508444000001</v>
      </c>
      <c r="BB26" s="258">
        <v>0</v>
      </c>
      <c r="BC26" s="254">
        <v>0</v>
      </c>
    </row>
    <row r="27" spans="1:55" s="273" customFormat="1" ht="47.25">
      <c r="A27" s="135" t="s">
        <v>879</v>
      </c>
      <c r="B27" s="132" t="s">
        <v>880</v>
      </c>
      <c r="C27" s="138" t="s">
        <v>876</v>
      </c>
      <c r="D27" s="255">
        <v>0</v>
      </c>
      <c r="E27" s="254">
        <v>0</v>
      </c>
      <c r="F27" s="255">
        <v>0</v>
      </c>
      <c r="G27" s="254">
        <v>0</v>
      </c>
      <c r="H27" s="255">
        <v>0</v>
      </c>
      <c r="I27" s="254">
        <v>0</v>
      </c>
      <c r="J27" s="255">
        <v>0</v>
      </c>
      <c r="K27" s="254">
        <v>0</v>
      </c>
      <c r="L27" s="255">
        <v>0</v>
      </c>
      <c r="M27" s="254">
        <v>0</v>
      </c>
      <c r="N27" s="255">
        <v>0</v>
      </c>
      <c r="O27" s="254">
        <v>0</v>
      </c>
      <c r="P27" s="255">
        <v>0</v>
      </c>
      <c r="Q27" s="254">
        <v>0</v>
      </c>
      <c r="R27" s="255">
        <v>0</v>
      </c>
      <c r="S27" s="254">
        <v>0</v>
      </c>
      <c r="T27" s="255">
        <v>0</v>
      </c>
      <c r="U27" s="254">
        <v>0</v>
      </c>
      <c r="V27" s="255">
        <v>0</v>
      </c>
      <c r="W27" s="254">
        <v>0</v>
      </c>
      <c r="X27" s="255">
        <v>10.615</v>
      </c>
      <c r="Y27" s="254">
        <f>'13'!AR26</f>
        <v>2.7749999999999999</v>
      </c>
      <c r="Z27" s="255">
        <v>0</v>
      </c>
      <c r="AA27" s="254">
        <v>0</v>
      </c>
      <c r="AB27" s="255">
        <v>0</v>
      </c>
      <c r="AC27" s="254">
        <v>0</v>
      </c>
      <c r="AD27" s="255">
        <v>0</v>
      </c>
      <c r="AE27" s="254">
        <v>0</v>
      </c>
      <c r="AF27" s="255">
        <v>0</v>
      </c>
      <c r="AG27" s="254">
        <v>0</v>
      </c>
      <c r="AH27" s="255">
        <v>0</v>
      </c>
      <c r="AI27" s="260">
        <v>0</v>
      </c>
      <c r="AJ27" s="255">
        <v>0</v>
      </c>
      <c r="AK27" s="254">
        <v>0</v>
      </c>
      <c r="AL27" s="255">
        <v>0</v>
      </c>
      <c r="AM27" s="254">
        <v>0</v>
      </c>
      <c r="AN27" s="255">
        <v>0</v>
      </c>
      <c r="AO27" s="274">
        <v>0</v>
      </c>
      <c r="AP27" s="255">
        <v>0</v>
      </c>
      <c r="AQ27" s="254">
        <v>0</v>
      </c>
      <c r="AR27" s="255">
        <v>0</v>
      </c>
      <c r="AS27" s="274">
        <v>0</v>
      </c>
      <c r="AT27" s="255">
        <v>0</v>
      </c>
      <c r="AU27" s="254">
        <v>0</v>
      </c>
      <c r="AV27" s="255">
        <v>0</v>
      </c>
      <c r="AW27" s="254">
        <v>0</v>
      </c>
      <c r="AX27" s="255" t="s">
        <v>1009</v>
      </c>
      <c r="AY27" s="254">
        <v>0</v>
      </c>
      <c r="AZ27" s="259">
        <f>'10'!G24</f>
        <v>11.766400600001797</v>
      </c>
      <c r="BA27" s="254">
        <f>'10'!H24</f>
        <v>5.6513455100000005</v>
      </c>
      <c r="BB27" s="258">
        <v>0</v>
      </c>
      <c r="BC27" s="254">
        <v>0</v>
      </c>
    </row>
    <row r="28" spans="1:55" s="273" customFormat="1" ht="126">
      <c r="A28" s="135" t="s">
        <v>881</v>
      </c>
      <c r="B28" s="132" t="s">
        <v>882</v>
      </c>
      <c r="C28" s="138" t="s">
        <v>876</v>
      </c>
      <c r="D28" s="255">
        <v>0</v>
      </c>
      <c r="E28" s="254">
        <v>0</v>
      </c>
      <c r="F28" s="255">
        <v>0</v>
      </c>
      <c r="G28" s="274">
        <v>0</v>
      </c>
      <c r="H28" s="255">
        <v>0</v>
      </c>
      <c r="I28" s="261">
        <v>0</v>
      </c>
      <c r="J28" s="255">
        <v>0</v>
      </c>
      <c r="K28" s="275">
        <v>0</v>
      </c>
      <c r="L28" s="255">
        <v>0</v>
      </c>
      <c r="M28" s="275">
        <v>0</v>
      </c>
      <c r="N28" s="255">
        <v>0</v>
      </c>
      <c r="O28" s="275">
        <v>0</v>
      </c>
      <c r="P28" s="255">
        <v>0</v>
      </c>
      <c r="Q28" s="254">
        <v>0</v>
      </c>
      <c r="R28" s="255">
        <v>0</v>
      </c>
      <c r="S28" s="254">
        <v>0</v>
      </c>
      <c r="T28" s="255">
        <v>0</v>
      </c>
      <c r="U28" s="274">
        <v>0</v>
      </c>
      <c r="V28" s="255">
        <v>0</v>
      </c>
      <c r="W28" s="274">
        <v>0</v>
      </c>
      <c r="X28" s="255">
        <v>0</v>
      </c>
      <c r="Y28" s="254">
        <f>'13'!AR27</f>
        <v>0</v>
      </c>
      <c r="Z28" s="255">
        <v>0</v>
      </c>
      <c r="AA28" s="274">
        <v>0</v>
      </c>
      <c r="AB28" s="255">
        <v>0</v>
      </c>
      <c r="AC28" s="262">
        <v>0</v>
      </c>
      <c r="AD28" s="255">
        <v>0</v>
      </c>
      <c r="AE28" s="274">
        <v>0</v>
      </c>
      <c r="AF28" s="255">
        <v>0</v>
      </c>
      <c r="AG28" s="254">
        <v>0</v>
      </c>
      <c r="AH28" s="255">
        <v>0</v>
      </c>
      <c r="AI28" s="254">
        <v>0</v>
      </c>
      <c r="AJ28" s="255">
        <v>0</v>
      </c>
      <c r="AK28" s="254">
        <v>0</v>
      </c>
      <c r="AL28" s="255">
        <v>0</v>
      </c>
      <c r="AM28" s="254">
        <v>0</v>
      </c>
      <c r="AN28" s="255">
        <v>0</v>
      </c>
      <c r="AO28" s="263">
        <v>0</v>
      </c>
      <c r="AP28" s="255">
        <v>0</v>
      </c>
      <c r="AQ28" s="254">
        <v>0</v>
      </c>
      <c r="AR28" s="255">
        <v>0</v>
      </c>
      <c r="AS28" s="260">
        <v>0</v>
      </c>
      <c r="AT28" s="255">
        <v>0</v>
      </c>
      <c r="AU28" s="254">
        <v>0</v>
      </c>
      <c r="AV28" s="255">
        <v>0</v>
      </c>
      <c r="AW28" s="254">
        <v>0</v>
      </c>
      <c r="AX28" s="255">
        <v>0</v>
      </c>
      <c r="AY28" s="277">
        <v>0</v>
      </c>
      <c r="AZ28" s="259">
        <f>'10'!G25</f>
        <v>0</v>
      </c>
      <c r="BA28" s="254">
        <f>'10'!H25</f>
        <v>0</v>
      </c>
      <c r="BB28" s="258">
        <v>0</v>
      </c>
      <c r="BC28" s="254">
        <v>0</v>
      </c>
    </row>
    <row r="29" spans="1:55" s="273" customFormat="1" ht="47.25">
      <c r="A29" s="146" t="s">
        <v>883</v>
      </c>
      <c r="B29" s="144" t="s">
        <v>884</v>
      </c>
      <c r="C29" s="138" t="s">
        <v>876</v>
      </c>
      <c r="D29" s="255">
        <v>0</v>
      </c>
      <c r="E29" s="254">
        <v>0</v>
      </c>
      <c r="F29" s="255">
        <v>0</v>
      </c>
      <c r="G29" s="264">
        <v>0</v>
      </c>
      <c r="H29" s="255">
        <v>0</v>
      </c>
      <c r="I29" s="261">
        <v>0</v>
      </c>
      <c r="J29" s="255">
        <v>0</v>
      </c>
      <c r="K29" s="261">
        <v>0</v>
      </c>
      <c r="L29" s="255">
        <v>0</v>
      </c>
      <c r="M29" s="261">
        <v>0</v>
      </c>
      <c r="N29" s="255">
        <v>0</v>
      </c>
      <c r="O29" s="261">
        <v>0</v>
      </c>
      <c r="P29" s="255">
        <v>0</v>
      </c>
      <c r="Q29" s="254">
        <v>0</v>
      </c>
      <c r="R29" s="255">
        <v>0</v>
      </c>
      <c r="S29" s="254">
        <v>0</v>
      </c>
      <c r="T29" s="255">
        <v>0</v>
      </c>
      <c r="U29" s="265">
        <v>0</v>
      </c>
      <c r="V29" s="255">
        <v>0</v>
      </c>
      <c r="W29" s="266">
        <v>0</v>
      </c>
      <c r="X29" s="255">
        <v>0</v>
      </c>
      <c r="Y29" s="254">
        <f>'13'!AR28</f>
        <v>0</v>
      </c>
      <c r="Z29" s="255">
        <v>0</v>
      </c>
      <c r="AA29" s="266">
        <v>0</v>
      </c>
      <c r="AB29" s="255">
        <v>0</v>
      </c>
      <c r="AC29" s="267">
        <v>0</v>
      </c>
      <c r="AD29" s="255">
        <v>0</v>
      </c>
      <c r="AE29" s="263">
        <v>0</v>
      </c>
      <c r="AF29" s="255">
        <v>0</v>
      </c>
      <c r="AG29" s="254">
        <v>0</v>
      </c>
      <c r="AH29" s="255">
        <v>0</v>
      </c>
      <c r="AI29" s="254">
        <v>0</v>
      </c>
      <c r="AJ29" s="255">
        <v>0</v>
      </c>
      <c r="AK29" s="254">
        <v>0</v>
      </c>
      <c r="AL29" s="255">
        <v>0</v>
      </c>
      <c r="AM29" s="254">
        <v>0</v>
      </c>
      <c r="AN29" s="255">
        <v>0</v>
      </c>
      <c r="AO29" s="254">
        <v>0</v>
      </c>
      <c r="AP29" s="255">
        <v>0</v>
      </c>
      <c r="AQ29" s="254">
        <v>0</v>
      </c>
      <c r="AR29" s="255">
        <v>0</v>
      </c>
      <c r="AS29" s="254">
        <v>0</v>
      </c>
      <c r="AT29" s="255">
        <v>0</v>
      </c>
      <c r="AU29" s="254">
        <v>0</v>
      </c>
      <c r="AV29" s="255">
        <v>0</v>
      </c>
      <c r="AW29" s="254">
        <v>0</v>
      </c>
      <c r="AX29" s="255">
        <v>0</v>
      </c>
      <c r="AY29" s="263">
        <v>0</v>
      </c>
      <c r="AZ29" s="259">
        <f>'10'!G26</f>
        <v>1.7919376000000002</v>
      </c>
      <c r="BA29" s="254">
        <f>'10'!H26</f>
        <v>1.7919376000000002</v>
      </c>
      <c r="BB29" s="258">
        <v>0</v>
      </c>
      <c r="BC29" s="254">
        <v>0</v>
      </c>
    </row>
    <row r="30" spans="1:55" s="273" customFormat="1" ht="47.25">
      <c r="A30" s="146" t="s">
        <v>885</v>
      </c>
      <c r="B30" s="144" t="s">
        <v>886</v>
      </c>
      <c r="C30" s="138" t="s">
        <v>876</v>
      </c>
      <c r="D30" s="255">
        <v>0</v>
      </c>
      <c r="E30" s="254">
        <v>0</v>
      </c>
      <c r="F30" s="255">
        <v>0</v>
      </c>
      <c r="G30" s="254">
        <v>0</v>
      </c>
      <c r="H30" s="255">
        <v>0</v>
      </c>
      <c r="I30" s="254">
        <v>0</v>
      </c>
      <c r="J30" s="255">
        <v>0</v>
      </c>
      <c r="K30" s="254">
        <v>0</v>
      </c>
      <c r="L30" s="255">
        <v>0</v>
      </c>
      <c r="M30" s="254">
        <v>0</v>
      </c>
      <c r="N30" s="255">
        <v>0</v>
      </c>
      <c r="O30" s="254">
        <v>0</v>
      </c>
      <c r="P30" s="255">
        <v>0</v>
      </c>
      <c r="Q30" s="254">
        <v>0</v>
      </c>
      <c r="R30" s="255">
        <v>0</v>
      </c>
      <c r="S30" s="254">
        <v>0</v>
      </c>
      <c r="T30" s="255">
        <v>0</v>
      </c>
      <c r="U30" s="254">
        <v>0</v>
      </c>
      <c r="V30" s="255">
        <v>0</v>
      </c>
      <c r="W30" s="254">
        <v>0</v>
      </c>
      <c r="X30" s="255">
        <v>0</v>
      </c>
      <c r="Y30" s="254">
        <f>'13'!AR29</f>
        <v>0</v>
      </c>
      <c r="Z30" s="255">
        <v>0</v>
      </c>
      <c r="AA30" s="254">
        <v>0</v>
      </c>
      <c r="AB30" s="255">
        <v>0</v>
      </c>
      <c r="AC30" s="254">
        <v>0</v>
      </c>
      <c r="AD30" s="255">
        <v>0</v>
      </c>
      <c r="AE30" s="254">
        <v>0</v>
      </c>
      <c r="AF30" s="255">
        <v>0</v>
      </c>
      <c r="AG30" s="254">
        <v>0</v>
      </c>
      <c r="AH30" s="255">
        <v>0</v>
      </c>
      <c r="AI30" s="254">
        <v>0</v>
      </c>
      <c r="AJ30" s="255">
        <v>0</v>
      </c>
      <c r="AK30" s="254">
        <v>0</v>
      </c>
      <c r="AL30" s="255">
        <v>0</v>
      </c>
      <c r="AM30" s="254">
        <v>0</v>
      </c>
      <c r="AN30" s="255">
        <v>0</v>
      </c>
      <c r="AO30" s="254">
        <v>0</v>
      </c>
      <c r="AP30" s="255">
        <v>0</v>
      </c>
      <c r="AQ30" s="254">
        <v>0</v>
      </c>
      <c r="AR30" s="255">
        <v>0</v>
      </c>
      <c r="AS30" s="254">
        <v>0</v>
      </c>
      <c r="AT30" s="255">
        <v>0</v>
      </c>
      <c r="AU30" s="254">
        <v>0</v>
      </c>
      <c r="AV30" s="255">
        <v>0</v>
      </c>
      <c r="AW30" s="254">
        <v>0</v>
      </c>
      <c r="AX30" s="255">
        <v>0</v>
      </c>
      <c r="AY30" s="254">
        <v>0</v>
      </c>
      <c r="AZ30" s="259">
        <f>'10'!G27</f>
        <v>0</v>
      </c>
      <c r="BA30" s="254">
        <f>'10'!H27</f>
        <v>0</v>
      </c>
      <c r="BB30" s="258">
        <v>0</v>
      </c>
      <c r="BC30" s="254">
        <v>0</v>
      </c>
    </row>
    <row r="31" spans="1:55" s="273" customFormat="1" ht="31.5">
      <c r="A31" s="146" t="s">
        <v>887</v>
      </c>
      <c r="B31" s="144" t="s">
        <v>888</v>
      </c>
      <c r="C31" s="138" t="s">
        <v>876</v>
      </c>
      <c r="D31" s="255">
        <v>0</v>
      </c>
      <c r="E31" s="254">
        <v>0</v>
      </c>
      <c r="F31" s="255">
        <v>0</v>
      </c>
      <c r="G31" s="254">
        <v>0</v>
      </c>
      <c r="H31" s="255">
        <v>0</v>
      </c>
      <c r="I31" s="254">
        <v>0</v>
      </c>
      <c r="J31" s="255">
        <v>0</v>
      </c>
      <c r="K31" s="254">
        <v>0</v>
      </c>
      <c r="L31" s="255">
        <v>0</v>
      </c>
      <c r="M31" s="254">
        <v>0</v>
      </c>
      <c r="N31" s="255">
        <v>0</v>
      </c>
      <c r="O31" s="254">
        <v>0</v>
      </c>
      <c r="P31" s="255">
        <v>0</v>
      </c>
      <c r="Q31" s="254">
        <v>0</v>
      </c>
      <c r="R31" s="255">
        <v>0</v>
      </c>
      <c r="S31" s="254">
        <v>0</v>
      </c>
      <c r="T31" s="255">
        <v>0</v>
      </c>
      <c r="U31" s="254">
        <v>0</v>
      </c>
      <c r="V31" s="255">
        <v>0</v>
      </c>
      <c r="W31" s="254">
        <v>0</v>
      </c>
      <c r="X31" s="255">
        <v>0</v>
      </c>
      <c r="Y31" s="254">
        <f>'13'!AR30</f>
        <v>0</v>
      </c>
      <c r="Z31" s="255">
        <v>0</v>
      </c>
      <c r="AA31" s="254">
        <v>0</v>
      </c>
      <c r="AB31" s="255">
        <v>0</v>
      </c>
      <c r="AC31" s="254">
        <v>0</v>
      </c>
      <c r="AD31" s="255">
        <v>0</v>
      </c>
      <c r="AE31" s="254">
        <v>0</v>
      </c>
      <c r="AF31" s="255">
        <v>0</v>
      </c>
      <c r="AG31" s="254">
        <v>0</v>
      </c>
      <c r="AH31" s="255">
        <v>0</v>
      </c>
      <c r="AI31" s="254">
        <v>0</v>
      </c>
      <c r="AJ31" s="255">
        <v>0</v>
      </c>
      <c r="AK31" s="254">
        <v>0</v>
      </c>
      <c r="AL31" s="255">
        <v>0</v>
      </c>
      <c r="AM31" s="254">
        <v>0</v>
      </c>
      <c r="AN31" s="255">
        <v>0</v>
      </c>
      <c r="AO31" s="254">
        <v>0</v>
      </c>
      <c r="AP31" s="255">
        <v>0</v>
      </c>
      <c r="AQ31" s="254">
        <v>0</v>
      </c>
      <c r="AR31" s="255">
        <v>0</v>
      </c>
      <c r="AS31" s="254">
        <v>0</v>
      </c>
      <c r="AT31" s="255">
        <v>0</v>
      </c>
      <c r="AU31" s="254">
        <v>0</v>
      </c>
      <c r="AV31" s="255">
        <v>0</v>
      </c>
      <c r="AW31" s="254">
        <v>0</v>
      </c>
      <c r="AX31" s="255">
        <v>0</v>
      </c>
      <c r="AY31" s="254">
        <v>0</v>
      </c>
      <c r="AZ31" s="259">
        <f>'10'!G28</f>
        <v>8.9344798730000008</v>
      </c>
      <c r="BA31" s="254">
        <f>'10'!H28</f>
        <v>8.9344798730000008</v>
      </c>
      <c r="BB31" s="258">
        <v>0</v>
      </c>
      <c r="BC31" s="254">
        <v>0</v>
      </c>
    </row>
    <row r="32" spans="1:55" s="273" customFormat="1" ht="47.25">
      <c r="A32" s="118" t="s">
        <v>743</v>
      </c>
      <c r="B32" s="144" t="s">
        <v>889</v>
      </c>
      <c r="C32" s="125" t="s">
        <v>876</v>
      </c>
      <c r="D32" s="255">
        <v>0</v>
      </c>
      <c r="E32" s="254">
        <v>0</v>
      </c>
      <c r="F32" s="268">
        <v>0</v>
      </c>
      <c r="G32" s="254">
        <v>0</v>
      </c>
      <c r="H32" s="268">
        <v>0</v>
      </c>
      <c r="I32" s="254">
        <v>0</v>
      </c>
      <c r="J32" s="268">
        <v>0</v>
      </c>
      <c r="K32" s="254">
        <v>0</v>
      </c>
      <c r="L32" s="268">
        <v>0</v>
      </c>
      <c r="M32" s="254">
        <v>0</v>
      </c>
      <c r="N32" s="268">
        <v>0</v>
      </c>
      <c r="O32" s="254">
        <v>0</v>
      </c>
      <c r="P32" s="268">
        <v>0</v>
      </c>
      <c r="Q32" s="254">
        <v>0</v>
      </c>
      <c r="R32" s="268">
        <v>0</v>
      </c>
      <c r="S32" s="254">
        <v>0</v>
      </c>
      <c r="T32" s="268">
        <v>0</v>
      </c>
      <c r="U32" s="254">
        <v>0</v>
      </c>
      <c r="V32" s="268">
        <v>0</v>
      </c>
      <c r="W32" s="254">
        <v>0</v>
      </c>
      <c r="X32" s="268">
        <v>0</v>
      </c>
      <c r="Y32" s="254">
        <f>'13'!AR31</f>
        <v>4.777000000000001</v>
      </c>
      <c r="Z32" s="268">
        <v>0</v>
      </c>
      <c r="AA32" s="254">
        <v>0</v>
      </c>
      <c r="AB32" s="268">
        <v>0</v>
      </c>
      <c r="AC32" s="254">
        <v>0</v>
      </c>
      <c r="AD32" s="268">
        <v>0</v>
      </c>
      <c r="AE32" s="254">
        <v>0</v>
      </c>
      <c r="AF32" s="268">
        <v>0</v>
      </c>
      <c r="AG32" s="254">
        <v>0</v>
      </c>
      <c r="AH32" s="268">
        <v>0</v>
      </c>
      <c r="AI32" s="254">
        <v>0</v>
      </c>
      <c r="AJ32" s="268">
        <v>0</v>
      </c>
      <c r="AK32" s="254">
        <v>0</v>
      </c>
      <c r="AL32" s="268">
        <v>0</v>
      </c>
      <c r="AM32" s="254">
        <v>0</v>
      </c>
      <c r="AN32" s="268">
        <v>0</v>
      </c>
      <c r="AO32" s="254">
        <v>0</v>
      </c>
      <c r="AP32" s="268">
        <v>0</v>
      </c>
      <c r="AQ32" s="254">
        <v>0</v>
      </c>
      <c r="AR32" s="268">
        <v>0</v>
      </c>
      <c r="AS32" s="254">
        <v>0</v>
      </c>
      <c r="AT32" s="268">
        <v>0</v>
      </c>
      <c r="AU32" s="254">
        <v>0</v>
      </c>
      <c r="AV32" s="268">
        <v>0</v>
      </c>
      <c r="AW32" s="254">
        <v>0</v>
      </c>
      <c r="AX32" s="268" t="s">
        <v>876</v>
      </c>
      <c r="AY32" s="254">
        <v>0</v>
      </c>
      <c r="AZ32" s="259">
        <f>'10'!G29</f>
        <v>4.7309032000000002</v>
      </c>
      <c r="BA32" s="254">
        <f>'10'!H29</f>
        <v>3.3264508444000001</v>
      </c>
      <c r="BB32" s="261">
        <v>0</v>
      </c>
      <c r="BC32" s="254">
        <v>0</v>
      </c>
    </row>
    <row r="33" spans="1:55" s="273" customFormat="1" ht="78.75">
      <c r="A33" s="146" t="s">
        <v>387</v>
      </c>
      <c r="B33" s="144" t="s">
        <v>890</v>
      </c>
      <c r="C33" s="125" t="s">
        <v>876</v>
      </c>
      <c r="D33" s="255">
        <v>0</v>
      </c>
      <c r="E33" s="254">
        <v>0</v>
      </c>
      <c r="F33" s="268">
        <v>0</v>
      </c>
      <c r="G33" s="254">
        <v>0</v>
      </c>
      <c r="H33" s="268">
        <v>0</v>
      </c>
      <c r="I33" s="254">
        <v>0</v>
      </c>
      <c r="J33" s="268">
        <v>0</v>
      </c>
      <c r="K33" s="254">
        <v>0</v>
      </c>
      <c r="L33" s="268">
        <v>0</v>
      </c>
      <c r="M33" s="254">
        <v>0</v>
      </c>
      <c r="N33" s="268">
        <v>0</v>
      </c>
      <c r="O33" s="254">
        <v>0</v>
      </c>
      <c r="P33" s="268">
        <v>0</v>
      </c>
      <c r="Q33" s="254">
        <v>0</v>
      </c>
      <c r="R33" s="268">
        <v>0</v>
      </c>
      <c r="S33" s="254">
        <v>0</v>
      </c>
      <c r="T33" s="268">
        <v>0</v>
      </c>
      <c r="U33" s="254">
        <v>0</v>
      </c>
      <c r="V33" s="268">
        <v>0</v>
      </c>
      <c r="W33" s="254">
        <v>0</v>
      </c>
      <c r="X33" s="268">
        <v>0</v>
      </c>
      <c r="Y33" s="254">
        <f>'13'!AR32</f>
        <v>3.1290000000000004</v>
      </c>
      <c r="Z33" s="268">
        <v>0</v>
      </c>
      <c r="AA33" s="254">
        <v>0</v>
      </c>
      <c r="AB33" s="268">
        <v>0</v>
      </c>
      <c r="AC33" s="254">
        <v>0</v>
      </c>
      <c r="AD33" s="268">
        <v>0</v>
      </c>
      <c r="AE33" s="254">
        <v>0</v>
      </c>
      <c r="AF33" s="268">
        <v>0</v>
      </c>
      <c r="AG33" s="254">
        <v>0</v>
      </c>
      <c r="AH33" s="268">
        <v>0</v>
      </c>
      <c r="AI33" s="254">
        <v>0</v>
      </c>
      <c r="AJ33" s="268">
        <v>0</v>
      </c>
      <c r="AK33" s="254">
        <v>0</v>
      </c>
      <c r="AL33" s="268">
        <v>0</v>
      </c>
      <c r="AM33" s="254">
        <v>0</v>
      </c>
      <c r="AN33" s="268">
        <v>0</v>
      </c>
      <c r="AO33" s="254">
        <v>0</v>
      </c>
      <c r="AP33" s="268">
        <v>0</v>
      </c>
      <c r="AQ33" s="254">
        <v>0</v>
      </c>
      <c r="AR33" s="268">
        <v>0</v>
      </c>
      <c r="AS33" s="254">
        <v>0</v>
      </c>
      <c r="AT33" s="268">
        <v>0</v>
      </c>
      <c r="AU33" s="254">
        <v>0</v>
      </c>
      <c r="AV33" s="268">
        <v>0</v>
      </c>
      <c r="AW33" s="254">
        <v>0</v>
      </c>
      <c r="AX33" s="268" t="s">
        <v>876</v>
      </c>
      <c r="AY33" s="254">
        <v>0</v>
      </c>
      <c r="AZ33" s="259">
        <f>'10'!G30</f>
        <v>4.7309032000000002</v>
      </c>
      <c r="BA33" s="254">
        <f>'10'!H30</f>
        <v>2.2723559320000004</v>
      </c>
      <c r="BB33" s="269">
        <v>0</v>
      </c>
      <c r="BC33" s="254">
        <v>0</v>
      </c>
    </row>
    <row r="34" spans="1:55" s="273" customFormat="1" ht="157.5">
      <c r="A34" s="123" t="s">
        <v>389</v>
      </c>
      <c r="B34" s="141" t="s">
        <v>891</v>
      </c>
      <c r="C34" s="119" t="s">
        <v>892</v>
      </c>
      <c r="D34" s="255">
        <v>2.5000000000000001E-2</v>
      </c>
      <c r="E34" s="254">
        <v>0</v>
      </c>
      <c r="F34" s="268">
        <v>0</v>
      </c>
      <c r="G34" s="254">
        <v>0</v>
      </c>
      <c r="H34" s="268">
        <v>0</v>
      </c>
      <c r="I34" s="254">
        <v>0</v>
      </c>
      <c r="J34" s="268">
        <v>0</v>
      </c>
      <c r="K34" s="254">
        <v>0</v>
      </c>
      <c r="L34" s="268">
        <v>1.5</v>
      </c>
      <c r="M34" s="254">
        <v>0</v>
      </c>
      <c r="N34" s="268">
        <v>0</v>
      </c>
      <c r="O34" s="254">
        <v>0</v>
      </c>
      <c r="P34" s="268">
        <v>0</v>
      </c>
      <c r="Q34" s="254">
        <v>0</v>
      </c>
      <c r="R34" s="268">
        <v>0</v>
      </c>
      <c r="S34" s="254">
        <v>0</v>
      </c>
      <c r="T34" s="268">
        <v>0</v>
      </c>
      <c r="U34" s="254">
        <v>0</v>
      </c>
      <c r="V34" s="268">
        <v>0</v>
      </c>
      <c r="W34" s="254">
        <v>0</v>
      </c>
      <c r="X34" s="268">
        <v>0</v>
      </c>
      <c r="Y34" s="254">
        <f>'13'!AR33</f>
        <v>3.1290000000000004</v>
      </c>
      <c r="Z34" s="268">
        <v>0</v>
      </c>
      <c r="AA34" s="254">
        <v>0</v>
      </c>
      <c r="AB34" s="268">
        <v>0</v>
      </c>
      <c r="AC34" s="254">
        <v>0</v>
      </c>
      <c r="AD34" s="268">
        <v>0</v>
      </c>
      <c r="AE34" s="254">
        <v>0</v>
      </c>
      <c r="AF34" s="268">
        <v>0</v>
      </c>
      <c r="AG34" s="254">
        <v>0</v>
      </c>
      <c r="AH34" s="268">
        <v>0</v>
      </c>
      <c r="AI34" s="254">
        <v>0</v>
      </c>
      <c r="AJ34" s="268">
        <v>0</v>
      </c>
      <c r="AK34" s="254">
        <v>0</v>
      </c>
      <c r="AL34" s="268">
        <v>0</v>
      </c>
      <c r="AM34" s="254">
        <v>0</v>
      </c>
      <c r="AN34" s="268">
        <v>0</v>
      </c>
      <c r="AO34" s="254">
        <v>0</v>
      </c>
      <c r="AP34" s="268">
        <v>0</v>
      </c>
      <c r="AQ34" s="254">
        <v>0</v>
      </c>
      <c r="AR34" s="268">
        <v>0</v>
      </c>
      <c r="AS34" s="254">
        <v>0</v>
      </c>
      <c r="AT34" s="268">
        <v>0</v>
      </c>
      <c r="AU34" s="254">
        <v>0</v>
      </c>
      <c r="AV34" s="268">
        <v>0</v>
      </c>
      <c r="AW34" s="254">
        <v>0</v>
      </c>
      <c r="AX34" s="268" t="s">
        <v>876</v>
      </c>
      <c r="AY34" s="254">
        <v>0</v>
      </c>
      <c r="AZ34" s="259">
        <f>'10'!G31</f>
        <v>4.7309032000000002</v>
      </c>
      <c r="BA34" s="254">
        <f>'10'!H31</f>
        <v>2.2723559320000004</v>
      </c>
      <c r="BB34" s="268">
        <v>0</v>
      </c>
      <c r="BC34" s="254">
        <v>0</v>
      </c>
    </row>
    <row r="35" spans="1:55" s="273" customFormat="1" ht="47.25">
      <c r="A35" s="123" t="s">
        <v>1074</v>
      </c>
      <c r="B35" s="508" t="s">
        <v>1080</v>
      </c>
      <c r="C35" s="119" t="s">
        <v>876</v>
      </c>
      <c r="D35" s="255"/>
      <c r="E35" s="254">
        <v>0</v>
      </c>
      <c r="F35" s="268">
        <v>0</v>
      </c>
      <c r="G35" s="254">
        <v>0</v>
      </c>
      <c r="H35" s="268">
        <v>0</v>
      </c>
      <c r="I35" s="254">
        <v>0</v>
      </c>
      <c r="J35" s="268">
        <v>0</v>
      </c>
      <c r="K35" s="254">
        <v>0</v>
      </c>
      <c r="L35" s="268">
        <v>0</v>
      </c>
      <c r="M35" s="254">
        <v>0</v>
      </c>
      <c r="N35" s="268">
        <v>0</v>
      </c>
      <c r="O35" s="254">
        <v>0</v>
      </c>
      <c r="P35" s="268">
        <v>0</v>
      </c>
      <c r="Q35" s="254">
        <v>0</v>
      </c>
      <c r="R35" s="268">
        <v>0</v>
      </c>
      <c r="S35" s="254">
        <v>0</v>
      </c>
      <c r="T35" s="268">
        <v>0</v>
      </c>
      <c r="U35" s="254">
        <v>0</v>
      </c>
      <c r="V35" s="268">
        <v>0</v>
      </c>
      <c r="W35" s="254">
        <v>0</v>
      </c>
      <c r="X35" s="268">
        <v>0</v>
      </c>
      <c r="Y35" s="254">
        <f>'13'!AR37</f>
        <v>7.4999999999999997E-2</v>
      </c>
      <c r="Z35" s="268">
        <v>0</v>
      </c>
      <c r="AA35" s="254">
        <v>0</v>
      </c>
      <c r="AB35" s="268">
        <v>0</v>
      </c>
      <c r="AC35" s="254">
        <v>0</v>
      </c>
      <c r="AD35" s="268">
        <v>0</v>
      </c>
      <c r="AE35" s="254">
        <v>0</v>
      </c>
      <c r="AF35" s="268">
        <v>0</v>
      </c>
      <c r="AG35" s="254">
        <v>0</v>
      </c>
      <c r="AH35" s="268">
        <v>0</v>
      </c>
      <c r="AI35" s="254">
        <v>0</v>
      </c>
      <c r="AJ35" s="268">
        <v>0</v>
      </c>
      <c r="AK35" s="254">
        <v>0</v>
      </c>
      <c r="AL35" s="268">
        <v>0</v>
      </c>
      <c r="AM35" s="254">
        <v>0</v>
      </c>
      <c r="AN35" s="268">
        <v>0</v>
      </c>
      <c r="AO35" s="254">
        <v>0</v>
      </c>
      <c r="AP35" s="268">
        <v>0</v>
      </c>
      <c r="AQ35" s="254">
        <v>0</v>
      </c>
      <c r="AR35" s="268">
        <v>0</v>
      </c>
      <c r="AS35" s="254">
        <v>0</v>
      </c>
      <c r="AT35" s="268">
        <v>0</v>
      </c>
      <c r="AU35" s="254">
        <v>0</v>
      </c>
      <c r="AV35" s="268">
        <v>0</v>
      </c>
      <c r="AW35" s="254">
        <v>0</v>
      </c>
      <c r="AX35" s="268">
        <v>0</v>
      </c>
      <c r="AY35" s="254">
        <v>0</v>
      </c>
      <c r="AZ35" s="259">
        <f>'10'!G32</f>
        <v>0</v>
      </c>
      <c r="BA35" s="254">
        <f>'10'!H32</f>
        <v>6.1970959999999999E-2</v>
      </c>
      <c r="BB35" s="268">
        <v>0</v>
      </c>
      <c r="BC35" s="254">
        <v>0</v>
      </c>
    </row>
    <row r="36" spans="1:55" s="273" customFormat="1" ht="47.25">
      <c r="A36" s="123" t="s">
        <v>1075</v>
      </c>
      <c r="B36" s="508" t="s">
        <v>1081</v>
      </c>
      <c r="C36" s="119" t="s">
        <v>876</v>
      </c>
      <c r="D36" s="255"/>
      <c r="E36" s="254">
        <v>0</v>
      </c>
      <c r="F36" s="268">
        <v>0</v>
      </c>
      <c r="G36" s="254">
        <v>0</v>
      </c>
      <c r="H36" s="268">
        <v>0</v>
      </c>
      <c r="I36" s="254">
        <v>0</v>
      </c>
      <c r="J36" s="268">
        <v>0</v>
      </c>
      <c r="K36" s="254">
        <v>0</v>
      </c>
      <c r="L36" s="268">
        <v>0</v>
      </c>
      <c r="M36" s="254">
        <v>0</v>
      </c>
      <c r="N36" s="268">
        <v>0</v>
      </c>
      <c r="O36" s="254">
        <v>0</v>
      </c>
      <c r="P36" s="268">
        <v>0</v>
      </c>
      <c r="Q36" s="254">
        <v>0</v>
      </c>
      <c r="R36" s="268">
        <v>0</v>
      </c>
      <c r="S36" s="254">
        <v>0</v>
      </c>
      <c r="T36" s="268">
        <v>0</v>
      </c>
      <c r="U36" s="254">
        <v>0</v>
      </c>
      <c r="V36" s="268">
        <v>0</v>
      </c>
      <c r="W36" s="254">
        <v>0</v>
      </c>
      <c r="X36" s="268">
        <v>0</v>
      </c>
      <c r="Y36" s="254">
        <f>'13'!AR38</f>
        <v>0.3</v>
      </c>
      <c r="Z36" s="268">
        <v>0</v>
      </c>
      <c r="AA36" s="254">
        <v>0</v>
      </c>
      <c r="AB36" s="268">
        <v>0</v>
      </c>
      <c r="AC36" s="254">
        <v>0</v>
      </c>
      <c r="AD36" s="268">
        <v>0</v>
      </c>
      <c r="AE36" s="254">
        <v>0</v>
      </c>
      <c r="AF36" s="268">
        <v>0</v>
      </c>
      <c r="AG36" s="254">
        <v>0</v>
      </c>
      <c r="AH36" s="268">
        <v>0</v>
      </c>
      <c r="AI36" s="254">
        <v>0</v>
      </c>
      <c r="AJ36" s="268">
        <v>0</v>
      </c>
      <c r="AK36" s="254">
        <v>0</v>
      </c>
      <c r="AL36" s="268">
        <v>0</v>
      </c>
      <c r="AM36" s="254">
        <v>0</v>
      </c>
      <c r="AN36" s="268">
        <v>0</v>
      </c>
      <c r="AO36" s="254">
        <v>0</v>
      </c>
      <c r="AP36" s="268">
        <v>0</v>
      </c>
      <c r="AQ36" s="254">
        <v>0</v>
      </c>
      <c r="AR36" s="268">
        <v>0</v>
      </c>
      <c r="AS36" s="254">
        <v>0</v>
      </c>
      <c r="AT36" s="268">
        <v>0</v>
      </c>
      <c r="AU36" s="254">
        <v>0</v>
      </c>
      <c r="AV36" s="268">
        <v>0</v>
      </c>
      <c r="AW36" s="254">
        <v>0</v>
      </c>
      <c r="AX36" s="268">
        <v>0</v>
      </c>
      <c r="AY36" s="254">
        <v>0</v>
      </c>
      <c r="AZ36" s="259">
        <f>'10'!G33</f>
        <v>0</v>
      </c>
      <c r="BA36" s="254">
        <f>'10'!H33</f>
        <v>2.7500230000000001E-2</v>
      </c>
      <c r="BB36" s="268">
        <v>0</v>
      </c>
      <c r="BC36" s="254">
        <v>0</v>
      </c>
    </row>
    <row r="37" spans="1:55" s="273" customFormat="1" ht="47.25">
      <c r="A37" s="123" t="s">
        <v>1076</v>
      </c>
      <c r="B37" s="508" t="s">
        <v>1082</v>
      </c>
      <c r="C37" s="119" t="s">
        <v>876</v>
      </c>
      <c r="D37" s="255"/>
      <c r="E37" s="254">
        <v>0</v>
      </c>
      <c r="F37" s="268">
        <v>0</v>
      </c>
      <c r="G37" s="254">
        <v>0</v>
      </c>
      <c r="H37" s="268">
        <v>0</v>
      </c>
      <c r="I37" s="254">
        <v>0</v>
      </c>
      <c r="J37" s="268">
        <v>0</v>
      </c>
      <c r="K37" s="254">
        <v>0</v>
      </c>
      <c r="L37" s="268">
        <v>0</v>
      </c>
      <c r="M37" s="254">
        <v>0</v>
      </c>
      <c r="N37" s="268">
        <v>0</v>
      </c>
      <c r="O37" s="254">
        <v>0</v>
      </c>
      <c r="P37" s="268">
        <v>0</v>
      </c>
      <c r="Q37" s="254">
        <v>0</v>
      </c>
      <c r="R37" s="268">
        <v>0</v>
      </c>
      <c r="S37" s="254">
        <v>0</v>
      </c>
      <c r="T37" s="268">
        <v>0</v>
      </c>
      <c r="U37" s="254">
        <v>0</v>
      </c>
      <c r="V37" s="268">
        <v>0</v>
      </c>
      <c r="W37" s="254">
        <v>0</v>
      </c>
      <c r="X37" s="268">
        <v>0</v>
      </c>
      <c r="Y37" s="254">
        <f>'13'!AR39</f>
        <v>0.08</v>
      </c>
      <c r="Z37" s="268">
        <v>0</v>
      </c>
      <c r="AA37" s="254">
        <v>0</v>
      </c>
      <c r="AB37" s="268">
        <v>0</v>
      </c>
      <c r="AC37" s="254">
        <v>0</v>
      </c>
      <c r="AD37" s="268">
        <v>0</v>
      </c>
      <c r="AE37" s="254">
        <v>0</v>
      </c>
      <c r="AF37" s="268">
        <v>0</v>
      </c>
      <c r="AG37" s="254">
        <v>0</v>
      </c>
      <c r="AH37" s="268">
        <v>0</v>
      </c>
      <c r="AI37" s="254">
        <v>0</v>
      </c>
      <c r="AJ37" s="268">
        <v>0</v>
      </c>
      <c r="AK37" s="254">
        <v>0</v>
      </c>
      <c r="AL37" s="268">
        <v>0</v>
      </c>
      <c r="AM37" s="254">
        <v>0</v>
      </c>
      <c r="AN37" s="268">
        <v>0</v>
      </c>
      <c r="AO37" s="254">
        <v>0</v>
      </c>
      <c r="AP37" s="268">
        <v>0</v>
      </c>
      <c r="AQ37" s="254">
        <v>0</v>
      </c>
      <c r="AR37" s="268">
        <v>0</v>
      </c>
      <c r="AS37" s="254">
        <v>0</v>
      </c>
      <c r="AT37" s="268">
        <v>0</v>
      </c>
      <c r="AU37" s="254">
        <v>0</v>
      </c>
      <c r="AV37" s="268">
        <v>0</v>
      </c>
      <c r="AW37" s="254">
        <v>0</v>
      </c>
      <c r="AX37" s="268">
        <v>0</v>
      </c>
      <c r="AY37" s="254">
        <v>0</v>
      </c>
      <c r="AZ37" s="259">
        <f>'10'!G34</f>
        <v>0</v>
      </c>
      <c r="BA37" s="254">
        <f>'10'!H34</f>
        <v>0.13751769</v>
      </c>
      <c r="BB37" s="268">
        <v>0</v>
      </c>
      <c r="BC37" s="254">
        <v>0</v>
      </c>
    </row>
    <row r="38" spans="1:55" s="273" customFormat="1" ht="63">
      <c r="A38" s="123" t="s">
        <v>1077</v>
      </c>
      <c r="B38" s="508" t="s">
        <v>1157</v>
      </c>
      <c r="C38" s="119" t="s">
        <v>876</v>
      </c>
      <c r="D38" s="255"/>
      <c r="E38" s="254">
        <v>0</v>
      </c>
      <c r="F38" s="268">
        <v>0</v>
      </c>
      <c r="G38" s="254">
        <v>0</v>
      </c>
      <c r="H38" s="268">
        <v>0</v>
      </c>
      <c r="I38" s="254">
        <v>0</v>
      </c>
      <c r="J38" s="268">
        <v>0</v>
      </c>
      <c r="K38" s="254">
        <v>0</v>
      </c>
      <c r="L38" s="268">
        <v>0</v>
      </c>
      <c r="M38" s="254">
        <v>0</v>
      </c>
      <c r="N38" s="268">
        <v>0</v>
      </c>
      <c r="O38" s="254">
        <v>0</v>
      </c>
      <c r="P38" s="268">
        <v>0</v>
      </c>
      <c r="Q38" s="254">
        <v>0</v>
      </c>
      <c r="R38" s="268">
        <v>0</v>
      </c>
      <c r="S38" s="254">
        <v>0</v>
      </c>
      <c r="T38" s="268">
        <v>0</v>
      </c>
      <c r="U38" s="254">
        <v>0</v>
      </c>
      <c r="V38" s="268">
        <v>0</v>
      </c>
      <c r="W38" s="254">
        <v>0</v>
      </c>
      <c r="X38" s="268">
        <v>0</v>
      </c>
      <c r="Y38" s="254">
        <f>'13'!AR40</f>
        <v>2.5000000000000001E-2</v>
      </c>
      <c r="Z38" s="268">
        <v>0</v>
      </c>
      <c r="AA38" s="254">
        <v>0</v>
      </c>
      <c r="AB38" s="268">
        <v>0</v>
      </c>
      <c r="AC38" s="254">
        <v>0</v>
      </c>
      <c r="AD38" s="268">
        <v>0</v>
      </c>
      <c r="AE38" s="254">
        <v>0</v>
      </c>
      <c r="AF38" s="268">
        <v>0</v>
      </c>
      <c r="AG38" s="254">
        <v>0</v>
      </c>
      <c r="AH38" s="268">
        <v>0</v>
      </c>
      <c r="AI38" s="254">
        <v>0</v>
      </c>
      <c r="AJ38" s="268">
        <v>0</v>
      </c>
      <c r="AK38" s="254">
        <v>0</v>
      </c>
      <c r="AL38" s="268">
        <v>0</v>
      </c>
      <c r="AM38" s="254">
        <v>0</v>
      </c>
      <c r="AN38" s="268">
        <v>0</v>
      </c>
      <c r="AO38" s="254">
        <v>0</v>
      </c>
      <c r="AP38" s="268">
        <v>0</v>
      </c>
      <c r="AQ38" s="254">
        <v>0</v>
      </c>
      <c r="AR38" s="268">
        <v>0</v>
      </c>
      <c r="AS38" s="254">
        <v>0</v>
      </c>
      <c r="AT38" s="268">
        <v>0</v>
      </c>
      <c r="AU38" s="254">
        <v>0</v>
      </c>
      <c r="AV38" s="268">
        <v>0</v>
      </c>
      <c r="AW38" s="254">
        <v>0</v>
      </c>
      <c r="AX38" s="268">
        <v>0</v>
      </c>
      <c r="AY38" s="254">
        <v>0</v>
      </c>
      <c r="AZ38" s="259">
        <f>'10'!G35</f>
        <v>0</v>
      </c>
      <c r="BA38" s="254">
        <f>'10'!H35</f>
        <v>8.6533588999999994E-2</v>
      </c>
      <c r="BB38" s="268">
        <v>0</v>
      </c>
      <c r="BC38" s="254">
        <v>0</v>
      </c>
    </row>
    <row r="39" spans="1:55" s="273" customFormat="1" ht="31.5">
      <c r="A39" s="123" t="s">
        <v>1078</v>
      </c>
      <c r="B39" s="514" t="s">
        <v>1084</v>
      </c>
      <c r="C39" s="119" t="s">
        <v>876</v>
      </c>
      <c r="D39" s="255"/>
      <c r="E39" s="254">
        <v>0</v>
      </c>
      <c r="F39" s="268">
        <v>0</v>
      </c>
      <c r="G39" s="254">
        <v>0</v>
      </c>
      <c r="H39" s="268">
        <v>0</v>
      </c>
      <c r="I39" s="254">
        <v>0</v>
      </c>
      <c r="J39" s="268">
        <v>0</v>
      </c>
      <c r="K39" s="254">
        <v>0</v>
      </c>
      <c r="L39" s="268">
        <v>0</v>
      </c>
      <c r="M39" s="254">
        <v>0</v>
      </c>
      <c r="N39" s="268">
        <v>0</v>
      </c>
      <c r="O39" s="254">
        <v>0</v>
      </c>
      <c r="P39" s="268">
        <v>0</v>
      </c>
      <c r="Q39" s="254">
        <v>0</v>
      </c>
      <c r="R39" s="268">
        <v>0</v>
      </c>
      <c r="S39" s="254">
        <v>0</v>
      </c>
      <c r="T39" s="268">
        <v>0</v>
      </c>
      <c r="U39" s="254">
        <v>0</v>
      </c>
      <c r="V39" s="268">
        <v>0</v>
      </c>
      <c r="W39" s="254">
        <v>0</v>
      </c>
      <c r="X39" s="268">
        <v>0</v>
      </c>
      <c r="Y39" s="254">
        <f>'13'!AR41</f>
        <v>1.04</v>
      </c>
      <c r="Z39" s="268">
        <v>0</v>
      </c>
      <c r="AA39" s="254">
        <v>0</v>
      </c>
      <c r="AB39" s="268">
        <v>0</v>
      </c>
      <c r="AC39" s="254">
        <v>0</v>
      </c>
      <c r="AD39" s="268">
        <v>0</v>
      </c>
      <c r="AE39" s="254">
        <v>0</v>
      </c>
      <c r="AF39" s="268">
        <v>0</v>
      </c>
      <c r="AG39" s="254">
        <v>0</v>
      </c>
      <c r="AH39" s="268">
        <v>0</v>
      </c>
      <c r="AI39" s="254">
        <v>0</v>
      </c>
      <c r="AJ39" s="268">
        <v>0</v>
      </c>
      <c r="AK39" s="254">
        <v>0</v>
      </c>
      <c r="AL39" s="268">
        <v>0</v>
      </c>
      <c r="AM39" s="254">
        <v>0</v>
      </c>
      <c r="AN39" s="268">
        <v>0</v>
      </c>
      <c r="AO39" s="254">
        <v>0</v>
      </c>
      <c r="AP39" s="268">
        <v>0</v>
      </c>
      <c r="AQ39" s="254">
        <v>0</v>
      </c>
      <c r="AR39" s="268">
        <v>0</v>
      </c>
      <c r="AS39" s="254">
        <v>0</v>
      </c>
      <c r="AT39" s="268">
        <v>0</v>
      </c>
      <c r="AU39" s="254">
        <v>0</v>
      </c>
      <c r="AV39" s="268">
        <v>0</v>
      </c>
      <c r="AW39" s="254">
        <v>0</v>
      </c>
      <c r="AX39" s="268">
        <v>0</v>
      </c>
      <c r="AY39" s="254">
        <v>0</v>
      </c>
      <c r="AZ39" s="259">
        <f>'10'!G36</f>
        <v>0</v>
      </c>
      <c r="BA39" s="254">
        <f>'10'!H36</f>
        <v>1.1186430000000001</v>
      </c>
      <c r="BB39" s="268">
        <v>0</v>
      </c>
      <c r="BC39" s="254">
        <v>0</v>
      </c>
    </row>
    <row r="40" spans="1:55" s="273" customFormat="1" ht="63">
      <c r="A40" s="123" t="s">
        <v>1079</v>
      </c>
      <c r="B40" s="508" t="s">
        <v>1085</v>
      </c>
      <c r="C40" s="119" t="s">
        <v>876</v>
      </c>
      <c r="D40" s="255"/>
      <c r="E40" s="254">
        <v>0</v>
      </c>
      <c r="F40" s="268">
        <v>0</v>
      </c>
      <c r="G40" s="254">
        <v>0</v>
      </c>
      <c r="H40" s="268">
        <v>0</v>
      </c>
      <c r="I40" s="254">
        <v>0</v>
      </c>
      <c r="J40" s="268">
        <v>0</v>
      </c>
      <c r="K40" s="254">
        <v>0</v>
      </c>
      <c r="L40" s="268">
        <v>0</v>
      </c>
      <c r="M40" s="254">
        <v>0</v>
      </c>
      <c r="N40" s="268">
        <v>0</v>
      </c>
      <c r="O40" s="254">
        <v>0</v>
      </c>
      <c r="P40" s="268">
        <v>0</v>
      </c>
      <c r="Q40" s="254">
        <v>0</v>
      </c>
      <c r="R40" s="268">
        <v>0</v>
      </c>
      <c r="S40" s="254">
        <v>0</v>
      </c>
      <c r="T40" s="268">
        <v>0</v>
      </c>
      <c r="U40" s="254">
        <v>0</v>
      </c>
      <c r="V40" s="268">
        <v>0</v>
      </c>
      <c r="W40" s="254">
        <v>0</v>
      </c>
      <c r="X40" s="268">
        <v>0</v>
      </c>
      <c r="Y40" s="254">
        <f>'13'!AR42</f>
        <v>0</v>
      </c>
      <c r="Z40" s="268">
        <v>0</v>
      </c>
      <c r="AA40" s="254">
        <v>0</v>
      </c>
      <c r="AB40" s="268">
        <v>0</v>
      </c>
      <c r="AC40" s="254">
        <v>0</v>
      </c>
      <c r="AD40" s="268">
        <v>0</v>
      </c>
      <c r="AE40" s="254">
        <v>0</v>
      </c>
      <c r="AF40" s="268">
        <v>0</v>
      </c>
      <c r="AG40" s="254">
        <v>0</v>
      </c>
      <c r="AH40" s="268">
        <v>0</v>
      </c>
      <c r="AI40" s="254">
        <v>0</v>
      </c>
      <c r="AJ40" s="268">
        <v>0</v>
      </c>
      <c r="AK40" s="254">
        <v>0</v>
      </c>
      <c r="AL40" s="268">
        <v>0</v>
      </c>
      <c r="AM40" s="254">
        <v>0</v>
      </c>
      <c r="AN40" s="268">
        <v>0</v>
      </c>
      <c r="AO40" s="254">
        <v>0</v>
      </c>
      <c r="AP40" s="268">
        <v>0</v>
      </c>
      <c r="AQ40" s="254">
        <v>0</v>
      </c>
      <c r="AR40" s="268">
        <v>0</v>
      </c>
      <c r="AS40" s="254">
        <v>0</v>
      </c>
      <c r="AT40" s="268">
        <v>0</v>
      </c>
      <c r="AU40" s="254">
        <v>0</v>
      </c>
      <c r="AV40" s="268">
        <v>0</v>
      </c>
      <c r="AW40" s="254">
        <v>0</v>
      </c>
      <c r="AX40" s="268">
        <v>0</v>
      </c>
      <c r="AY40" s="254">
        <v>0</v>
      </c>
      <c r="AZ40" s="259">
        <f>'10'!G37</f>
        <v>0</v>
      </c>
      <c r="BA40" s="254">
        <f>'10'!H37</f>
        <v>9.1999999999999998E-2</v>
      </c>
      <c r="BB40" s="268">
        <v>0</v>
      </c>
      <c r="BC40" s="254">
        <v>0</v>
      </c>
    </row>
    <row r="41" spans="1:55" s="273" customFormat="1" ht="47.25">
      <c r="A41" s="123" t="s">
        <v>1145</v>
      </c>
      <c r="B41" s="508" t="s">
        <v>1156</v>
      </c>
      <c r="C41" s="119" t="s">
        <v>876</v>
      </c>
      <c r="D41" s="255"/>
      <c r="E41" s="254">
        <v>0</v>
      </c>
      <c r="F41" s="268">
        <v>0</v>
      </c>
      <c r="G41" s="254">
        <v>0</v>
      </c>
      <c r="H41" s="268">
        <v>0</v>
      </c>
      <c r="I41" s="254">
        <v>0</v>
      </c>
      <c r="J41" s="268">
        <v>0</v>
      </c>
      <c r="K41" s="254">
        <v>0</v>
      </c>
      <c r="L41" s="268">
        <v>0</v>
      </c>
      <c r="M41" s="254">
        <v>0</v>
      </c>
      <c r="N41" s="268">
        <v>0</v>
      </c>
      <c r="O41" s="254">
        <v>0</v>
      </c>
      <c r="P41" s="268">
        <v>0</v>
      </c>
      <c r="Q41" s="254">
        <v>0</v>
      </c>
      <c r="R41" s="268">
        <v>0</v>
      </c>
      <c r="S41" s="254">
        <v>0</v>
      </c>
      <c r="T41" s="268">
        <v>0</v>
      </c>
      <c r="U41" s="254">
        <v>0</v>
      </c>
      <c r="V41" s="268">
        <v>0</v>
      </c>
      <c r="W41" s="254">
        <v>0</v>
      </c>
      <c r="X41" s="268">
        <v>0</v>
      </c>
      <c r="Y41" s="254">
        <f>'13'!AR43</f>
        <v>0.06</v>
      </c>
      <c r="Z41" s="268">
        <v>0</v>
      </c>
      <c r="AA41" s="254">
        <v>0</v>
      </c>
      <c r="AB41" s="268">
        <v>0</v>
      </c>
      <c r="AC41" s="254">
        <v>0</v>
      </c>
      <c r="AD41" s="268">
        <v>0</v>
      </c>
      <c r="AE41" s="254">
        <v>0</v>
      </c>
      <c r="AF41" s="268">
        <v>0</v>
      </c>
      <c r="AG41" s="254">
        <v>0</v>
      </c>
      <c r="AH41" s="268">
        <v>0</v>
      </c>
      <c r="AI41" s="254">
        <v>0</v>
      </c>
      <c r="AJ41" s="268">
        <v>0</v>
      </c>
      <c r="AK41" s="254">
        <v>0</v>
      </c>
      <c r="AL41" s="268">
        <v>0</v>
      </c>
      <c r="AM41" s="254">
        <v>0</v>
      </c>
      <c r="AN41" s="268">
        <v>0</v>
      </c>
      <c r="AO41" s="254">
        <v>0</v>
      </c>
      <c r="AP41" s="268">
        <v>0</v>
      </c>
      <c r="AQ41" s="254">
        <v>0</v>
      </c>
      <c r="AR41" s="268">
        <v>0</v>
      </c>
      <c r="AS41" s="254">
        <v>0</v>
      </c>
      <c r="AT41" s="268">
        <v>0</v>
      </c>
      <c r="AU41" s="254">
        <v>0</v>
      </c>
      <c r="AV41" s="268">
        <v>0</v>
      </c>
      <c r="AW41" s="254">
        <v>0</v>
      </c>
      <c r="AX41" s="268">
        <v>0</v>
      </c>
      <c r="AY41" s="254">
        <v>0</v>
      </c>
      <c r="AZ41" s="259">
        <f>'10'!G38</f>
        <v>0</v>
      </c>
      <c r="BA41" s="254">
        <f>'10'!H38</f>
        <v>3.9901382999999999E-2</v>
      </c>
      <c r="BB41" s="268">
        <v>0</v>
      </c>
      <c r="BC41" s="254">
        <v>0</v>
      </c>
    </row>
    <row r="42" spans="1:55" s="273" customFormat="1" ht="63">
      <c r="A42" s="123" t="s">
        <v>1146</v>
      </c>
      <c r="B42" s="508" t="s">
        <v>1155</v>
      </c>
      <c r="C42" s="119" t="s">
        <v>876</v>
      </c>
      <c r="D42" s="255"/>
      <c r="E42" s="254">
        <v>0</v>
      </c>
      <c r="F42" s="268">
        <v>0</v>
      </c>
      <c r="G42" s="254">
        <v>0</v>
      </c>
      <c r="H42" s="268">
        <v>0</v>
      </c>
      <c r="I42" s="254">
        <v>0</v>
      </c>
      <c r="J42" s="268">
        <v>0</v>
      </c>
      <c r="K42" s="254">
        <v>0</v>
      </c>
      <c r="L42" s="268">
        <v>0</v>
      </c>
      <c r="M42" s="254">
        <v>0</v>
      </c>
      <c r="N42" s="268">
        <v>0</v>
      </c>
      <c r="O42" s="254">
        <v>0</v>
      </c>
      <c r="P42" s="268">
        <v>0</v>
      </c>
      <c r="Q42" s="254">
        <v>0</v>
      </c>
      <c r="R42" s="268">
        <v>0</v>
      </c>
      <c r="S42" s="254">
        <v>0</v>
      </c>
      <c r="T42" s="268">
        <v>0</v>
      </c>
      <c r="U42" s="254">
        <v>0</v>
      </c>
      <c r="V42" s="268">
        <v>0</v>
      </c>
      <c r="W42" s="254">
        <v>0</v>
      </c>
      <c r="X42" s="268">
        <v>0</v>
      </c>
      <c r="Y42" s="254">
        <f>'13'!AR44</f>
        <v>0.25</v>
      </c>
      <c r="Z42" s="268">
        <v>0</v>
      </c>
      <c r="AA42" s="254">
        <v>0</v>
      </c>
      <c r="AB42" s="268">
        <v>0</v>
      </c>
      <c r="AC42" s="254">
        <v>0</v>
      </c>
      <c r="AD42" s="268">
        <v>0</v>
      </c>
      <c r="AE42" s="254">
        <v>0</v>
      </c>
      <c r="AF42" s="268">
        <v>0</v>
      </c>
      <c r="AG42" s="254">
        <v>0</v>
      </c>
      <c r="AH42" s="268">
        <v>0</v>
      </c>
      <c r="AI42" s="254">
        <v>0</v>
      </c>
      <c r="AJ42" s="268">
        <v>0</v>
      </c>
      <c r="AK42" s="254">
        <v>0</v>
      </c>
      <c r="AL42" s="268">
        <v>0</v>
      </c>
      <c r="AM42" s="254">
        <v>0</v>
      </c>
      <c r="AN42" s="268">
        <v>0</v>
      </c>
      <c r="AO42" s="254">
        <v>0</v>
      </c>
      <c r="AP42" s="268">
        <v>0</v>
      </c>
      <c r="AQ42" s="254">
        <v>0</v>
      </c>
      <c r="AR42" s="268">
        <v>0</v>
      </c>
      <c r="AS42" s="254">
        <v>0</v>
      </c>
      <c r="AT42" s="268">
        <v>0</v>
      </c>
      <c r="AU42" s="254">
        <v>0</v>
      </c>
      <c r="AV42" s="268">
        <v>0</v>
      </c>
      <c r="AW42" s="254">
        <v>0</v>
      </c>
      <c r="AX42" s="268">
        <v>0</v>
      </c>
      <c r="AY42" s="254">
        <v>0</v>
      </c>
      <c r="AZ42" s="259">
        <f>'10'!G39</f>
        <v>0</v>
      </c>
      <c r="BA42" s="254">
        <f>'10'!H39</f>
        <v>0.16484497000000001</v>
      </c>
      <c r="BB42" s="268">
        <v>0</v>
      </c>
      <c r="BC42" s="254">
        <v>0</v>
      </c>
    </row>
    <row r="43" spans="1:55" s="273" customFormat="1" ht="63">
      <c r="A43" s="123" t="s">
        <v>1147</v>
      </c>
      <c r="B43" s="508" t="s">
        <v>1154</v>
      </c>
      <c r="C43" s="119" t="s">
        <v>876</v>
      </c>
      <c r="D43" s="255"/>
      <c r="E43" s="254">
        <v>0</v>
      </c>
      <c r="F43" s="268">
        <v>0</v>
      </c>
      <c r="G43" s="254">
        <v>0</v>
      </c>
      <c r="H43" s="268">
        <v>0</v>
      </c>
      <c r="I43" s="254">
        <v>0</v>
      </c>
      <c r="J43" s="268">
        <v>0</v>
      </c>
      <c r="K43" s="254">
        <v>0</v>
      </c>
      <c r="L43" s="268">
        <v>0</v>
      </c>
      <c r="M43" s="254">
        <v>0</v>
      </c>
      <c r="N43" s="268">
        <v>0</v>
      </c>
      <c r="O43" s="254">
        <v>0</v>
      </c>
      <c r="P43" s="268">
        <v>0</v>
      </c>
      <c r="Q43" s="254">
        <v>0</v>
      </c>
      <c r="R43" s="268">
        <v>0</v>
      </c>
      <c r="S43" s="254">
        <v>0</v>
      </c>
      <c r="T43" s="268">
        <v>0</v>
      </c>
      <c r="U43" s="254">
        <v>0</v>
      </c>
      <c r="V43" s="268">
        <v>0</v>
      </c>
      <c r="W43" s="254">
        <v>0</v>
      </c>
      <c r="X43" s="268">
        <v>0</v>
      </c>
      <c r="Y43" s="254">
        <f>'13'!AR45</f>
        <v>0.2</v>
      </c>
      <c r="Z43" s="268">
        <v>0</v>
      </c>
      <c r="AA43" s="254">
        <v>0</v>
      </c>
      <c r="AB43" s="268">
        <v>0</v>
      </c>
      <c r="AC43" s="254">
        <v>0</v>
      </c>
      <c r="AD43" s="268">
        <v>0</v>
      </c>
      <c r="AE43" s="254">
        <v>0</v>
      </c>
      <c r="AF43" s="268">
        <v>0</v>
      </c>
      <c r="AG43" s="254">
        <v>0</v>
      </c>
      <c r="AH43" s="268">
        <v>0</v>
      </c>
      <c r="AI43" s="254">
        <v>0</v>
      </c>
      <c r="AJ43" s="268">
        <v>0</v>
      </c>
      <c r="AK43" s="254">
        <v>0</v>
      </c>
      <c r="AL43" s="268">
        <v>0</v>
      </c>
      <c r="AM43" s="254">
        <v>0</v>
      </c>
      <c r="AN43" s="268">
        <v>0</v>
      </c>
      <c r="AO43" s="254">
        <v>0</v>
      </c>
      <c r="AP43" s="268">
        <v>0</v>
      </c>
      <c r="AQ43" s="254">
        <v>0</v>
      </c>
      <c r="AR43" s="268">
        <v>0</v>
      </c>
      <c r="AS43" s="254">
        <v>0</v>
      </c>
      <c r="AT43" s="268">
        <v>0</v>
      </c>
      <c r="AU43" s="254">
        <v>0</v>
      </c>
      <c r="AV43" s="268">
        <v>0</v>
      </c>
      <c r="AW43" s="254">
        <v>0</v>
      </c>
      <c r="AX43" s="268">
        <v>0</v>
      </c>
      <c r="AY43" s="254">
        <v>0</v>
      </c>
      <c r="AZ43" s="259">
        <f>'10'!G40</f>
        <v>0</v>
      </c>
      <c r="BA43" s="254">
        <f>'10'!H40</f>
        <v>0.18058581999999998</v>
      </c>
      <c r="BB43" s="268">
        <v>0</v>
      </c>
      <c r="BC43" s="254">
        <v>0</v>
      </c>
    </row>
    <row r="44" spans="1:55" s="273" customFormat="1" ht="63">
      <c r="A44" s="123" t="s">
        <v>1158</v>
      </c>
      <c r="B44" s="508" t="s">
        <v>1159</v>
      </c>
      <c r="C44" s="119" t="s">
        <v>876</v>
      </c>
      <c r="D44" s="255"/>
      <c r="E44" s="254">
        <v>0</v>
      </c>
      <c r="F44" s="268">
        <v>0</v>
      </c>
      <c r="G44" s="254">
        <v>0</v>
      </c>
      <c r="H44" s="268">
        <v>0</v>
      </c>
      <c r="I44" s="254">
        <v>0</v>
      </c>
      <c r="J44" s="268">
        <v>0</v>
      </c>
      <c r="K44" s="254">
        <v>0</v>
      </c>
      <c r="L44" s="268">
        <v>0</v>
      </c>
      <c r="M44" s="254">
        <v>0</v>
      </c>
      <c r="N44" s="268">
        <v>0</v>
      </c>
      <c r="O44" s="254">
        <v>0</v>
      </c>
      <c r="P44" s="268">
        <v>0</v>
      </c>
      <c r="Q44" s="254">
        <v>0</v>
      </c>
      <c r="R44" s="268">
        <v>0</v>
      </c>
      <c r="S44" s="254">
        <v>0</v>
      </c>
      <c r="T44" s="268">
        <v>0</v>
      </c>
      <c r="U44" s="254">
        <v>0</v>
      </c>
      <c r="V44" s="268">
        <v>0</v>
      </c>
      <c r="W44" s="254">
        <v>0</v>
      </c>
      <c r="X44" s="268">
        <v>0</v>
      </c>
      <c r="Y44" s="254">
        <f>'13'!AR51</f>
        <v>0</v>
      </c>
      <c r="Z44" s="268">
        <v>0</v>
      </c>
      <c r="AA44" s="254">
        <v>0</v>
      </c>
      <c r="AB44" s="268">
        <v>0</v>
      </c>
      <c r="AC44" s="254">
        <v>0</v>
      </c>
      <c r="AD44" s="268">
        <v>0</v>
      </c>
      <c r="AE44" s="254">
        <v>0</v>
      </c>
      <c r="AF44" s="268">
        <v>0</v>
      </c>
      <c r="AG44" s="254">
        <v>0</v>
      </c>
      <c r="AH44" s="268">
        <v>0</v>
      </c>
      <c r="AI44" s="254">
        <v>0</v>
      </c>
      <c r="AJ44" s="268">
        <v>0</v>
      </c>
      <c r="AK44" s="254">
        <v>0</v>
      </c>
      <c r="AL44" s="268">
        <v>0</v>
      </c>
      <c r="AM44" s="254">
        <v>0</v>
      </c>
      <c r="AN44" s="268">
        <v>0</v>
      </c>
      <c r="AO44" s="254">
        <v>0</v>
      </c>
      <c r="AP44" s="268">
        <v>0</v>
      </c>
      <c r="AQ44" s="254">
        <v>0</v>
      </c>
      <c r="AR44" s="268">
        <v>0</v>
      </c>
      <c r="AS44" s="254">
        <v>0</v>
      </c>
      <c r="AT44" s="268">
        <v>0</v>
      </c>
      <c r="AU44" s="254">
        <v>0</v>
      </c>
      <c r="AV44" s="268">
        <v>0</v>
      </c>
      <c r="AW44" s="254">
        <v>0</v>
      </c>
      <c r="AX44" s="268">
        <v>0</v>
      </c>
      <c r="AY44" s="254">
        <v>0</v>
      </c>
      <c r="AZ44" s="259">
        <f>'10'!G41</f>
        <v>0</v>
      </c>
      <c r="BA44" s="254">
        <f>'10'!H46</f>
        <v>0</v>
      </c>
      <c r="BB44" s="268">
        <v>0</v>
      </c>
      <c r="BC44" s="254">
        <v>0</v>
      </c>
    </row>
    <row r="45" spans="1:55" s="273" customFormat="1" ht="78.75">
      <c r="A45" s="146" t="s">
        <v>392</v>
      </c>
      <c r="B45" s="144" t="s">
        <v>893</v>
      </c>
      <c r="C45" s="125" t="s">
        <v>876</v>
      </c>
      <c r="D45" s="255">
        <v>0</v>
      </c>
      <c r="E45" s="254">
        <v>0</v>
      </c>
      <c r="F45" s="268">
        <v>0</v>
      </c>
      <c r="G45" s="254">
        <v>0</v>
      </c>
      <c r="H45" s="268">
        <v>0</v>
      </c>
      <c r="I45" s="254">
        <v>0</v>
      </c>
      <c r="J45" s="268">
        <v>0</v>
      </c>
      <c r="K45" s="254">
        <v>0</v>
      </c>
      <c r="L45" s="268">
        <v>0</v>
      </c>
      <c r="M45" s="254">
        <v>0</v>
      </c>
      <c r="N45" s="268">
        <v>0</v>
      </c>
      <c r="O45" s="254">
        <v>0</v>
      </c>
      <c r="P45" s="268">
        <v>0</v>
      </c>
      <c r="Q45" s="254">
        <v>0</v>
      </c>
      <c r="R45" s="268">
        <v>0</v>
      </c>
      <c r="S45" s="254">
        <v>0</v>
      </c>
      <c r="T45" s="268">
        <v>0</v>
      </c>
      <c r="U45" s="254">
        <v>0</v>
      </c>
      <c r="V45" s="268">
        <v>0</v>
      </c>
      <c r="W45" s="254">
        <v>0</v>
      </c>
      <c r="X45" s="268">
        <v>0</v>
      </c>
      <c r="Y45" s="254">
        <f>'13'!AR52</f>
        <v>1.6480000000000001</v>
      </c>
      <c r="Z45" s="268">
        <v>0</v>
      </c>
      <c r="AA45" s="254">
        <v>0</v>
      </c>
      <c r="AB45" s="268">
        <v>0</v>
      </c>
      <c r="AC45" s="254">
        <v>0</v>
      </c>
      <c r="AD45" s="268">
        <v>0</v>
      </c>
      <c r="AE45" s="254">
        <v>0</v>
      </c>
      <c r="AF45" s="268">
        <v>0</v>
      </c>
      <c r="AG45" s="254">
        <v>0</v>
      </c>
      <c r="AH45" s="268">
        <v>0</v>
      </c>
      <c r="AI45" s="254">
        <v>0</v>
      </c>
      <c r="AJ45" s="268">
        <v>0</v>
      </c>
      <c r="AK45" s="254">
        <v>0</v>
      </c>
      <c r="AL45" s="268">
        <v>0</v>
      </c>
      <c r="AM45" s="254">
        <v>0</v>
      </c>
      <c r="AN45" s="268">
        <v>0</v>
      </c>
      <c r="AO45" s="254">
        <v>0</v>
      </c>
      <c r="AP45" s="268">
        <v>0</v>
      </c>
      <c r="AQ45" s="254">
        <v>0</v>
      </c>
      <c r="AR45" s="268">
        <v>0</v>
      </c>
      <c r="AS45" s="254">
        <v>0</v>
      </c>
      <c r="AT45" s="268">
        <v>0</v>
      </c>
      <c r="AU45" s="254">
        <v>0</v>
      </c>
      <c r="AV45" s="268">
        <v>0</v>
      </c>
      <c r="AW45" s="254">
        <v>0</v>
      </c>
      <c r="AX45" s="268" t="s">
        <v>876</v>
      </c>
      <c r="AY45" s="254">
        <v>0</v>
      </c>
      <c r="AZ45" s="259">
        <f>'10'!G42</f>
        <v>0</v>
      </c>
      <c r="BA45" s="254">
        <f>'10'!H47</f>
        <v>1.0540949123999999</v>
      </c>
      <c r="BB45" s="268">
        <v>0</v>
      </c>
      <c r="BC45" s="254">
        <v>0</v>
      </c>
    </row>
    <row r="46" spans="1:55" s="273" customFormat="1" ht="63">
      <c r="A46" s="123" t="s">
        <v>1094</v>
      </c>
      <c r="B46" s="129" t="s">
        <v>1095</v>
      </c>
      <c r="C46" s="125" t="s">
        <v>876</v>
      </c>
      <c r="D46" s="255"/>
      <c r="E46" s="254">
        <v>0</v>
      </c>
      <c r="F46" s="268">
        <v>0</v>
      </c>
      <c r="G46" s="254">
        <v>0</v>
      </c>
      <c r="H46" s="268">
        <v>0</v>
      </c>
      <c r="I46" s="254">
        <v>0</v>
      </c>
      <c r="J46" s="268">
        <v>0</v>
      </c>
      <c r="K46" s="254">
        <v>0</v>
      </c>
      <c r="L46" s="268">
        <v>0</v>
      </c>
      <c r="M46" s="254">
        <v>0</v>
      </c>
      <c r="N46" s="268">
        <v>0</v>
      </c>
      <c r="O46" s="254">
        <v>0</v>
      </c>
      <c r="P46" s="268">
        <v>0</v>
      </c>
      <c r="Q46" s="254">
        <v>0</v>
      </c>
      <c r="R46" s="268">
        <v>0</v>
      </c>
      <c r="S46" s="254">
        <v>0</v>
      </c>
      <c r="T46" s="268">
        <v>0</v>
      </c>
      <c r="U46" s="254">
        <v>0</v>
      </c>
      <c r="V46" s="268">
        <v>0</v>
      </c>
      <c r="W46" s="254">
        <v>0</v>
      </c>
      <c r="X46" s="268">
        <v>0</v>
      </c>
      <c r="Y46" s="254">
        <f>'13'!AR53</f>
        <v>8.5000000000000006E-2</v>
      </c>
      <c r="Z46" s="268">
        <v>0</v>
      </c>
      <c r="AA46" s="254">
        <v>0</v>
      </c>
      <c r="AB46" s="268">
        <v>0</v>
      </c>
      <c r="AC46" s="254">
        <v>0</v>
      </c>
      <c r="AD46" s="268">
        <v>0</v>
      </c>
      <c r="AE46" s="254">
        <v>0</v>
      </c>
      <c r="AF46" s="268">
        <v>0</v>
      </c>
      <c r="AG46" s="254">
        <v>0</v>
      </c>
      <c r="AH46" s="268">
        <v>0</v>
      </c>
      <c r="AI46" s="254">
        <v>0</v>
      </c>
      <c r="AJ46" s="268">
        <v>0</v>
      </c>
      <c r="AK46" s="254">
        <v>0</v>
      </c>
      <c r="AL46" s="268">
        <v>0</v>
      </c>
      <c r="AM46" s="254">
        <v>0</v>
      </c>
      <c r="AN46" s="268">
        <v>0</v>
      </c>
      <c r="AO46" s="254">
        <v>0</v>
      </c>
      <c r="AP46" s="268">
        <v>0</v>
      </c>
      <c r="AQ46" s="254">
        <v>0</v>
      </c>
      <c r="AR46" s="268">
        <v>0</v>
      </c>
      <c r="AS46" s="254">
        <v>0</v>
      </c>
      <c r="AT46" s="268">
        <v>0</v>
      </c>
      <c r="AU46" s="254">
        <v>0</v>
      </c>
      <c r="AV46" s="268">
        <v>0</v>
      </c>
      <c r="AW46" s="254">
        <v>0</v>
      </c>
      <c r="AX46" s="268">
        <v>0</v>
      </c>
      <c r="AY46" s="254">
        <v>0</v>
      </c>
      <c r="AZ46" s="259">
        <f>'10'!G43</f>
        <v>0</v>
      </c>
      <c r="BA46" s="254">
        <f>'10'!H48</f>
        <v>0.20393600000000001</v>
      </c>
      <c r="BB46" s="268">
        <v>0</v>
      </c>
      <c r="BC46" s="254">
        <v>0</v>
      </c>
    </row>
    <row r="47" spans="1:55" s="273" customFormat="1" ht="63">
      <c r="A47" s="123" t="s">
        <v>1096</v>
      </c>
      <c r="B47" s="129" t="s">
        <v>1103</v>
      </c>
      <c r="C47" s="125" t="s">
        <v>876</v>
      </c>
      <c r="D47" s="255"/>
      <c r="E47" s="254">
        <v>0</v>
      </c>
      <c r="F47" s="268">
        <v>0</v>
      </c>
      <c r="G47" s="254">
        <v>0</v>
      </c>
      <c r="H47" s="268">
        <v>0</v>
      </c>
      <c r="I47" s="254">
        <v>0</v>
      </c>
      <c r="J47" s="268">
        <v>0</v>
      </c>
      <c r="K47" s="254">
        <v>0</v>
      </c>
      <c r="L47" s="268">
        <v>0</v>
      </c>
      <c r="M47" s="254">
        <v>0</v>
      </c>
      <c r="N47" s="268">
        <v>0</v>
      </c>
      <c r="O47" s="254">
        <v>0</v>
      </c>
      <c r="P47" s="268">
        <v>0</v>
      </c>
      <c r="Q47" s="254">
        <v>0</v>
      </c>
      <c r="R47" s="268">
        <v>0</v>
      </c>
      <c r="S47" s="254">
        <v>0</v>
      </c>
      <c r="T47" s="268">
        <v>0</v>
      </c>
      <c r="U47" s="254">
        <v>0</v>
      </c>
      <c r="V47" s="268">
        <v>0</v>
      </c>
      <c r="W47" s="254">
        <v>0</v>
      </c>
      <c r="X47" s="268">
        <v>0</v>
      </c>
      <c r="Y47" s="254">
        <f>'13'!AR55</f>
        <v>0.14000000000000001</v>
      </c>
      <c r="Z47" s="268">
        <v>0</v>
      </c>
      <c r="AA47" s="254">
        <v>0</v>
      </c>
      <c r="AB47" s="268">
        <v>0</v>
      </c>
      <c r="AC47" s="254">
        <v>0</v>
      </c>
      <c r="AD47" s="268">
        <v>0</v>
      </c>
      <c r="AE47" s="254">
        <v>0</v>
      </c>
      <c r="AF47" s="268">
        <v>0</v>
      </c>
      <c r="AG47" s="254">
        <v>0</v>
      </c>
      <c r="AH47" s="268">
        <v>0</v>
      </c>
      <c r="AI47" s="254">
        <v>0</v>
      </c>
      <c r="AJ47" s="268">
        <v>0</v>
      </c>
      <c r="AK47" s="254">
        <v>0</v>
      </c>
      <c r="AL47" s="268">
        <v>0</v>
      </c>
      <c r="AM47" s="254">
        <v>0</v>
      </c>
      <c r="AN47" s="268">
        <v>0</v>
      </c>
      <c r="AO47" s="254">
        <v>0</v>
      </c>
      <c r="AP47" s="268">
        <v>0</v>
      </c>
      <c r="AQ47" s="254">
        <v>0</v>
      </c>
      <c r="AR47" s="268">
        <v>0</v>
      </c>
      <c r="AS47" s="254">
        <v>0</v>
      </c>
      <c r="AT47" s="268">
        <v>0</v>
      </c>
      <c r="AU47" s="254">
        <v>0</v>
      </c>
      <c r="AV47" s="268">
        <v>0</v>
      </c>
      <c r="AW47" s="254">
        <v>0</v>
      </c>
      <c r="AX47" s="268">
        <v>0</v>
      </c>
      <c r="AY47" s="254">
        <v>0</v>
      </c>
      <c r="AZ47" s="259">
        <f>'10'!G44</f>
        <v>0</v>
      </c>
      <c r="BA47" s="254">
        <f>'10'!H49</f>
        <v>3.874317E-2</v>
      </c>
      <c r="BB47" s="268">
        <v>0</v>
      </c>
      <c r="BC47" s="254">
        <v>0</v>
      </c>
    </row>
    <row r="48" spans="1:55" s="273" customFormat="1" ht="63">
      <c r="A48" s="123" t="s">
        <v>1097</v>
      </c>
      <c r="B48" s="129" t="s">
        <v>1149</v>
      </c>
      <c r="C48" s="125" t="s">
        <v>876</v>
      </c>
      <c r="D48" s="255"/>
      <c r="E48" s="254">
        <v>0</v>
      </c>
      <c r="F48" s="268">
        <v>0</v>
      </c>
      <c r="G48" s="254">
        <v>0</v>
      </c>
      <c r="H48" s="268">
        <v>0</v>
      </c>
      <c r="I48" s="254">
        <v>0</v>
      </c>
      <c r="J48" s="268">
        <v>0</v>
      </c>
      <c r="K48" s="254">
        <v>0</v>
      </c>
      <c r="L48" s="268">
        <v>0</v>
      </c>
      <c r="M48" s="254">
        <v>0</v>
      </c>
      <c r="N48" s="268">
        <v>0</v>
      </c>
      <c r="O48" s="254">
        <v>0</v>
      </c>
      <c r="P48" s="268">
        <v>0</v>
      </c>
      <c r="Q48" s="254">
        <v>0</v>
      </c>
      <c r="R48" s="268">
        <v>0</v>
      </c>
      <c r="S48" s="254">
        <v>0</v>
      </c>
      <c r="T48" s="268">
        <v>0</v>
      </c>
      <c r="U48" s="254">
        <v>0</v>
      </c>
      <c r="V48" s="268">
        <v>0</v>
      </c>
      <c r="W48" s="254">
        <v>0</v>
      </c>
      <c r="X48" s="268">
        <v>0</v>
      </c>
      <c r="Y48" s="254" t="e">
        <f>'13'!#REF!</f>
        <v>#REF!</v>
      </c>
      <c r="Z48" s="268">
        <v>0</v>
      </c>
      <c r="AA48" s="254">
        <v>0</v>
      </c>
      <c r="AB48" s="268">
        <v>0</v>
      </c>
      <c r="AC48" s="254">
        <v>0</v>
      </c>
      <c r="AD48" s="268">
        <v>0</v>
      </c>
      <c r="AE48" s="254">
        <v>0</v>
      </c>
      <c r="AF48" s="268">
        <v>0</v>
      </c>
      <c r="AG48" s="254">
        <v>0</v>
      </c>
      <c r="AH48" s="268">
        <v>0</v>
      </c>
      <c r="AI48" s="254">
        <v>0</v>
      </c>
      <c r="AJ48" s="268">
        <v>0</v>
      </c>
      <c r="AK48" s="254">
        <v>0</v>
      </c>
      <c r="AL48" s="268">
        <v>0</v>
      </c>
      <c r="AM48" s="254">
        <v>0</v>
      </c>
      <c r="AN48" s="268">
        <v>0</v>
      </c>
      <c r="AO48" s="254">
        <v>0</v>
      </c>
      <c r="AP48" s="268">
        <v>0</v>
      </c>
      <c r="AQ48" s="254">
        <v>0</v>
      </c>
      <c r="AR48" s="268">
        <v>0</v>
      </c>
      <c r="AS48" s="254">
        <v>0</v>
      </c>
      <c r="AT48" s="268">
        <v>0</v>
      </c>
      <c r="AU48" s="254">
        <v>0</v>
      </c>
      <c r="AV48" s="268">
        <v>0</v>
      </c>
      <c r="AW48" s="254">
        <v>0</v>
      </c>
      <c r="AX48" s="268">
        <v>0</v>
      </c>
      <c r="AY48" s="254">
        <v>0</v>
      </c>
      <c r="AZ48" s="259">
        <f>'10'!G45</f>
        <v>0</v>
      </c>
      <c r="BA48" s="254">
        <f>'10'!H50</f>
        <v>0.14472301240000002</v>
      </c>
      <c r="BB48" s="268">
        <v>0</v>
      </c>
      <c r="BC48" s="254">
        <v>0</v>
      </c>
    </row>
    <row r="49" spans="1:55" s="273" customFormat="1" ht="63">
      <c r="A49" s="123" t="s">
        <v>1098</v>
      </c>
      <c r="B49" s="129" t="s">
        <v>1151</v>
      </c>
      <c r="C49" s="125" t="s">
        <v>876</v>
      </c>
      <c r="D49" s="255"/>
      <c r="E49" s="254">
        <v>0</v>
      </c>
      <c r="F49" s="268">
        <v>0</v>
      </c>
      <c r="G49" s="254">
        <v>0</v>
      </c>
      <c r="H49" s="268">
        <v>0</v>
      </c>
      <c r="I49" s="254">
        <v>0</v>
      </c>
      <c r="J49" s="268">
        <v>0</v>
      </c>
      <c r="K49" s="254">
        <v>0</v>
      </c>
      <c r="L49" s="268">
        <v>0</v>
      </c>
      <c r="M49" s="254">
        <v>0</v>
      </c>
      <c r="N49" s="268">
        <v>0</v>
      </c>
      <c r="O49" s="254">
        <v>0</v>
      </c>
      <c r="P49" s="268">
        <v>0</v>
      </c>
      <c r="Q49" s="254">
        <v>0</v>
      </c>
      <c r="R49" s="268">
        <v>0</v>
      </c>
      <c r="S49" s="254">
        <v>0</v>
      </c>
      <c r="T49" s="268">
        <v>0</v>
      </c>
      <c r="U49" s="254">
        <v>0</v>
      </c>
      <c r="V49" s="268">
        <v>0</v>
      </c>
      <c r="W49" s="254">
        <v>0</v>
      </c>
      <c r="X49" s="268">
        <v>0</v>
      </c>
      <c r="Y49" s="254">
        <f>'13'!AR56</f>
        <v>0.28999999999999998</v>
      </c>
      <c r="Z49" s="268">
        <v>0</v>
      </c>
      <c r="AA49" s="254">
        <v>0</v>
      </c>
      <c r="AB49" s="268">
        <v>0</v>
      </c>
      <c r="AC49" s="254">
        <v>0</v>
      </c>
      <c r="AD49" s="268">
        <v>0</v>
      </c>
      <c r="AE49" s="254">
        <v>0</v>
      </c>
      <c r="AF49" s="268">
        <v>0</v>
      </c>
      <c r="AG49" s="254">
        <v>0</v>
      </c>
      <c r="AH49" s="268">
        <v>0</v>
      </c>
      <c r="AI49" s="254">
        <v>0</v>
      </c>
      <c r="AJ49" s="268">
        <v>0</v>
      </c>
      <c r="AK49" s="254">
        <v>0</v>
      </c>
      <c r="AL49" s="268">
        <v>0</v>
      </c>
      <c r="AM49" s="254">
        <v>0</v>
      </c>
      <c r="AN49" s="268">
        <v>0</v>
      </c>
      <c r="AO49" s="254">
        <v>0</v>
      </c>
      <c r="AP49" s="268">
        <v>0</v>
      </c>
      <c r="AQ49" s="254">
        <v>0</v>
      </c>
      <c r="AR49" s="268">
        <v>0</v>
      </c>
      <c r="AS49" s="254">
        <v>0</v>
      </c>
      <c r="AT49" s="268">
        <v>0</v>
      </c>
      <c r="AU49" s="254">
        <v>0</v>
      </c>
      <c r="AV49" s="268">
        <v>0</v>
      </c>
      <c r="AW49" s="254">
        <v>0</v>
      </c>
      <c r="AX49" s="268">
        <v>0</v>
      </c>
      <c r="AY49" s="254">
        <v>0</v>
      </c>
      <c r="AZ49" s="259">
        <f>'10'!G46</f>
        <v>0</v>
      </c>
      <c r="BA49" s="254">
        <f>'10'!H51</f>
        <v>5.1999999999999998E-2</v>
      </c>
      <c r="BB49" s="268">
        <v>0</v>
      </c>
      <c r="BC49" s="254">
        <v>0</v>
      </c>
    </row>
    <row r="50" spans="1:55" s="273" customFormat="1" ht="63">
      <c r="A50" s="123" t="s">
        <v>1099</v>
      </c>
      <c r="B50" s="129" t="s">
        <v>1150</v>
      </c>
      <c r="C50" s="125" t="s">
        <v>876</v>
      </c>
      <c r="D50" s="255"/>
      <c r="E50" s="254">
        <v>0</v>
      </c>
      <c r="F50" s="268">
        <v>0</v>
      </c>
      <c r="G50" s="254">
        <v>0</v>
      </c>
      <c r="H50" s="268">
        <v>0</v>
      </c>
      <c r="I50" s="254">
        <v>0</v>
      </c>
      <c r="J50" s="268">
        <v>0</v>
      </c>
      <c r="K50" s="254">
        <v>0</v>
      </c>
      <c r="L50" s="268">
        <v>0</v>
      </c>
      <c r="M50" s="254">
        <v>0</v>
      </c>
      <c r="N50" s="268">
        <v>0</v>
      </c>
      <c r="O50" s="254">
        <v>0</v>
      </c>
      <c r="P50" s="268">
        <v>0</v>
      </c>
      <c r="Q50" s="254">
        <v>0</v>
      </c>
      <c r="R50" s="268">
        <v>0</v>
      </c>
      <c r="S50" s="254">
        <v>0</v>
      </c>
      <c r="T50" s="268">
        <v>0</v>
      </c>
      <c r="U50" s="254">
        <v>0</v>
      </c>
      <c r="V50" s="268">
        <v>0</v>
      </c>
      <c r="W50" s="254">
        <v>0</v>
      </c>
      <c r="X50" s="268">
        <v>0</v>
      </c>
      <c r="Y50" s="254">
        <f>'13'!AR57</f>
        <v>0.28999999999999998</v>
      </c>
      <c r="Z50" s="268">
        <v>0</v>
      </c>
      <c r="AA50" s="254">
        <v>0</v>
      </c>
      <c r="AB50" s="268">
        <v>0</v>
      </c>
      <c r="AC50" s="254">
        <v>0</v>
      </c>
      <c r="AD50" s="268">
        <v>0</v>
      </c>
      <c r="AE50" s="254">
        <v>0</v>
      </c>
      <c r="AF50" s="268">
        <v>0</v>
      </c>
      <c r="AG50" s="254">
        <v>0</v>
      </c>
      <c r="AH50" s="268">
        <v>0</v>
      </c>
      <c r="AI50" s="254">
        <v>0</v>
      </c>
      <c r="AJ50" s="268">
        <v>0</v>
      </c>
      <c r="AK50" s="254">
        <v>0</v>
      </c>
      <c r="AL50" s="268">
        <v>0</v>
      </c>
      <c r="AM50" s="254">
        <v>0</v>
      </c>
      <c r="AN50" s="268">
        <v>0</v>
      </c>
      <c r="AO50" s="254">
        <v>0</v>
      </c>
      <c r="AP50" s="268">
        <v>0</v>
      </c>
      <c r="AQ50" s="254">
        <v>0</v>
      </c>
      <c r="AR50" s="268">
        <v>0</v>
      </c>
      <c r="AS50" s="254">
        <v>0</v>
      </c>
      <c r="AT50" s="268">
        <v>0</v>
      </c>
      <c r="AU50" s="254">
        <v>0</v>
      </c>
      <c r="AV50" s="268">
        <v>0</v>
      </c>
      <c r="AW50" s="254">
        <v>0</v>
      </c>
      <c r="AX50" s="268">
        <v>0</v>
      </c>
      <c r="AY50" s="254">
        <v>0</v>
      </c>
      <c r="AZ50" s="259">
        <f>'10'!G47</f>
        <v>0</v>
      </c>
      <c r="BA50" s="254">
        <f>'10'!H52</f>
        <v>0.37317107999999999</v>
      </c>
      <c r="BB50" s="268">
        <v>0</v>
      </c>
      <c r="BC50" s="254">
        <v>0</v>
      </c>
    </row>
    <row r="51" spans="1:55" s="273" customFormat="1" ht="63">
      <c r="A51" s="123" t="s">
        <v>1152</v>
      </c>
      <c r="B51" s="129" t="s">
        <v>1153</v>
      </c>
      <c r="C51" s="125" t="s">
        <v>876</v>
      </c>
      <c r="D51" s="255"/>
      <c r="E51" s="254">
        <v>0</v>
      </c>
      <c r="F51" s="268">
        <v>0</v>
      </c>
      <c r="G51" s="254">
        <v>0</v>
      </c>
      <c r="H51" s="268">
        <v>0</v>
      </c>
      <c r="I51" s="254">
        <v>0</v>
      </c>
      <c r="J51" s="268">
        <v>0</v>
      </c>
      <c r="K51" s="254">
        <v>0</v>
      </c>
      <c r="L51" s="268">
        <v>0</v>
      </c>
      <c r="M51" s="254">
        <v>0</v>
      </c>
      <c r="N51" s="268">
        <v>0</v>
      </c>
      <c r="O51" s="254">
        <v>0</v>
      </c>
      <c r="P51" s="268">
        <v>0</v>
      </c>
      <c r="Q51" s="254">
        <v>0</v>
      </c>
      <c r="R51" s="268">
        <v>0</v>
      </c>
      <c r="S51" s="254">
        <v>0</v>
      </c>
      <c r="T51" s="268">
        <v>0</v>
      </c>
      <c r="U51" s="254">
        <v>0</v>
      </c>
      <c r="V51" s="268">
        <v>0</v>
      </c>
      <c r="W51" s="254">
        <v>0</v>
      </c>
      <c r="X51" s="268">
        <v>0</v>
      </c>
      <c r="Y51" s="254">
        <f>'13'!AR58</f>
        <v>0.74299999999999999</v>
      </c>
      <c r="Z51" s="268">
        <v>0</v>
      </c>
      <c r="AA51" s="254">
        <v>0</v>
      </c>
      <c r="AB51" s="268">
        <v>0</v>
      </c>
      <c r="AC51" s="254">
        <v>0</v>
      </c>
      <c r="AD51" s="268">
        <v>0</v>
      </c>
      <c r="AE51" s="254">
        <v>0</v>
      </c>
      <c r="AF51" s="268">
        <v>0</v>
      </c>
      <c r="AG51" s="254">
        <v>0</v>
      </c>
      <c r="AH51" s="268">
        <v>0</v>
      </c>
      <c r="AI51" s="254">
        <v>0</v>
      </c>
      <c r="AJ51" s="268">
        <v>0</v>
      </c>
      <c r="AK51" s="254">
        <v>0</v>
      </c>
      <c r="AL51" s="268">
        <v>0</v>
      </c>
      <c r="AM51" s="254">
        <v>0</v>
      </c>
      <c r="AN51" s="268">
        <v>0</v>
      </c>
      <c r="AO51" s="254">
        <v>0</v>
      </c>
      <c r="AP51" s="268">
        <v>0</v>
      </c>
      <c r="AQ51" s="254">
        <v>0</v>
      </c>
      <c r="AR51" s="268">
        <v>0</v>
      </c>
      <c r="AS51" s="254">
        <v>0</v>
      </c>
      <c r="AT51" s="268">
        <v>0</v>
      </c>
      <c r="AU51" s="254">
        <v>0</v>
      </c>
      <c r="AV51" s="268">
        <v>0</v>
      </c>
      <c r="AW51" s="254">
        <v>0</v>
      </c>
      <c r="AX51" s="268">
        <v>0</v>
      </c>
      <c r="AY51" s="254">
        <v>0</v>
      </c>
      <c r="AZ51" s="259">
        <f>'10'!G48</f>
        <v>0</v>
      </c>
      <c r="BA51" s="254">
        <f>'10'!H53</f>
        <v>0.24152165</v>
      </c>
      <c r="BB51" s="268">
        <v>0</v>
      </c>
      <c r="BC51" s="254">
        <v>0</v>
      </c>
    </row>
    <row r="52" spans="1:55" s="273" customFormat="1" ht="63">
      <c r="A52" s="146" t="s">
        <v>394</v>
      </c>
      <c r="B52" s="144" t="s">
        <v>894</v>
      </c>
      <c r="C52" s="125" t="s">
        <v>876</v>
      </c>
      <c r="D52" s="255">
        <v>0</v>
      </c>
      <c r="E52" s="254">
        <v>0</v>
      </c>
      <c r="F52" s="268">
        <v>0</v>
      </c>
      <c r="G52" s="254">
        <v>0</v>
      </c>
      <c r="H52" s="268">
        <v>0</v>
      </c>
      <c r="I52" s="254">
        <v>0</v>
      </c>
      <c r="J52" s="268">
        <v>0</v>
      </c>
      <c r="K52" s="254">
        <v>0</v>
      </c>
      <c r="L52" s="268">
        <v>0</v>
      </c>
      <c r="M52" s="254">
        <v>0</v>
      </c>
      <c r="N52" s="268">
        <v>0</v>
      </c>
      <c r="O52" s="254">
        <v>0</v>
      </c>
      <c r="P52" s="268">
        <v>0</v>
      </c>
      <c r="Q52" s="254">
        <v>0</v>
      </c>
      <c r="R52" s="268">
        <v>0</v>
      </c>
      <c r="S52" s="254">
        <v>0</v>
      </c>
      <c r="T52" s="268">
        <v>0</v>
      </c>
      <c r="U52" s="254">
        <v>0</v>
      </c>
      <c r="V52" s="268">
        <v>0</v>
      </c>
      <c r="W52" s="254">
        <v>0</v>
      </c>
      <c r="X52" s="268">
        <v>0</v>
      </c>
      <c r="Y52" s="254">
        <f>'13'!AR59</f>
        <v>0</v>
      </c>
      <c r="Z52" s="268">
        <v>0</v>
      </c>
      <c r="AA52" s="254">
        <v>0</v>
      </c>
      <c r="AB52" s="268">
        <v>0</v>
      </c>
      <c r="AC52" s="254">
        <v>0</v>
      </c>
      <c r="AD52" s="268">
        <v>0</v>
      </c>
      <c r="AE52" s="254">
        <v>0</v>
      </c>
      <c r="AF52" s="268">
        <v>0</v>
      </c>
      <c r="AG52" s="254">
        <v>0</v>
      </c>
      <c r="AH52" s="268">
        <v>0</v>
      </c>
      <c r="AI52" s="254">
        <v>0</v>
      </c>
      <c r="AJ52" s="268">
        <v>0</v>
      </c>
      <c r="AK52" s="254">
        <v>0</v>
      </c>
      <c r="AL52" s="268">
        <v>0</v>
      </c>
      <c r="AM52" s="254">
        <v>0</v>
      </c>
      <c r="AN52" s="268">
        <v>0</v>
      </c>
      <c r="AO52" s="254">
        <v>0</v>
      </c>
      <c r="AP52" s="268">
        <v>0</v>
      </c>
      <c r="AQ52" s="254">
        <v>0</v>
      </c>
      <c r="AR52" s="268">
        <v>0</v>
      </c>
      <c r="AS52" s="254">
        <v>0</v>
      </c>
      <c r="AT52" s="268">
        <v>0</v>
      </c>
      <c r="AU52" s="254">
        <v>0</v>
      </c>
      <c r="AV52" s="268">
        <v>0</v>
      </c>
      <c r="AW52" s="254">
        <v>0</v>
      </c>
      <c r="AX52" s="268" t="s">
        <v>876</v>
      </c>
      <c r="AY52" s="254">
        <v>0</v>
      </c>
      <c r="AZ52" s="259">
        <f>'10'!G49</f>
        <v>0</v>
      </c>
      <c r="BA52" s="254">
        <v>0</v>
      </c>
      <c r="BB52" s="268">
        <v>0</v>
      </c>
      <c r="BC52" s="254">
        <v>0</v>
      </c>
    </row>
    <row r="53" spans="1:55" s="273" customFormat="1" ht="47.25">
      <c r="A53" s="118" t="s">
        <v>744</v>
      </c>
      <c r="B53" s="144" t="s">
        <v>895</v>
      </c>
      <c r="C53" s="125" t="s">
        <v>876</v>
      </c>
      <c r="D53" s="255">
        <v>0</v>
      </c>
      <c r="E53" s="254">
        <v>0</v>
      </c>
      <c r="F53" s="268">
        <v>0</v>
      </c>
      <c r="G53" s="254">
        <v>0</v>
      </c>
      <c r="H53" s="268">
        <v>0</v>
      </c>
      <c r="I53" s="254">
        <v>0</v>
      </c>
      <c r="J53" s="268">
        <v>0</v>
      </c>
      <c r="K53" s="254">
        <v>0</v>
      </c>
      <c r="L53" s="268">
        <v>0</v>
      </c>
      <c r="M53" s="254">
        <v>0</v>
      </c>
      <c r="N53" s="268">
        <v>0</v>
      </c>
      <c r="O53" s="254">
        <v>0</v>
      </c>
      <c r="P53" s="268">
        <v>0</v>
      </c>
      <c r="Q53" s="254">
        <v>0</v>
      </c>
      <c r="R53" s="268">
        <v>0</v>
      </c>
      <c r="S53" s="254">
        <v>0</v>
      </c>
      <c r="T53" s="268">
        <v>0</v>
      </c>
      <c r="U53" s="254">
        <v>0</v>
      </c>
      <c r="V53" s="268">
        <v>0</v>
      </c>
      <c r="W53" s="254">
        <v>0</v>
      </c>
      <c r="X53" s="268">
        <v>0</v>
      </c>
      <c r="Y53" s="254">
        <f>'13'!AR60</f>
        <v>0</v>
      </c>
      <c r="Z53" s="268">
        <v>0</v>
      </c>
      <c r="AA53" s="254">
        <v>0</v>
      </c>
      <c r="AB53" s="268">
        <v>0</v>
      </c>
      <c r="AC53" s="254">
        <v>0</v>
      </c>
      <c r="AD53" s="268">
        <v>0</v>
      </c>
      <c r="AE53" s="254">
        <v>0</v>
      </c>
      <c r="AF53" s="268">
        <v>0</v>
      </c>
      <c r="AG53" s="254">
        <v>0</v>
      </c>
      <c r="AH53" s="268">
        <v>0</v>
      </c>
      <c r="AI53" s="254">
        <v>0</v>
      </c>
      <c r="AJ53" s="268">
        <v>0</v>
      </c>
      <c r="AK53" s="254">
        <v>0</v>
      </c>
      <c r="AL53" s="268">
        <v>0</v>
      </c>
      <c r="AM53" s="254">
        <v>0</v>
      </c>
      <c r="AN53" s="268">
        <v>0</v>
      </c>
      <c r="AO53" s="254">
        <v>0</v>
      </c>
      <c r="AP53" s="268">
        <v>0</v>
      </c>
      <c r="AQ53" s="254">
        <v>0</v>
      </c>
      <c r="AR53" s="268">
        <v>0</v>
      </c>
      <c r="AS53" s="254">
        <v>0</v>
      </c>
      <c r="AT53" s="268">
        <v>0</v>
      </c>
      <c r="AU53" s="254">
        <v>0</v>
      </c>
      <c r="AV53" s="268">
        <v>0</v>
      </c>
      <c r="AW53" s="254">
        <v>0</v>
      </c>
      <c r="AX53" s="268" t="s">
        <v>876</v>
      </c>
      <c r="AY53" s="254">
        <v>0</v>
      </c>
      <c r="AZ53" s="259">
        <f>'10'!G50</f>
        <v>0</v>
      </c>
      <c r="BA53" s="254">
        <v>0</v>
      </c>
      <c r="BB53" s="268">
        <v>0</v>
      </c>
      <c r="BC53" s="254">
        <v>0</v>
      </c>
    </row>
    <row r="54" spans="1:55" s="273" customFormat="1" ht="78.75">
      <c r="A54" s="146" t="s">
        <v>415</v>
      </c>
      <c r="B54" s="144" t="s">
        <v>896</v>
      </c>
      <c r="C54" s="125" t="s">
        <v>876</v>
      </c>
      <c r="D54" s="255">
        <v>0</v>
      </c>
      <c r="E54" s="254">
        <v>0</v>
      </c>
      <c r="F54" s="268">
        <v>0</v>
      </c>
      <c r="G54" s="254">
        <v>0</v>
      </c>
      <c r="H54" s="268">
        <v>0</v>
      </c>
      <c r="I54" s="254">
        <v>0</v>
      </c>
      <c r="J54" s="268">
        <v>0</v>
      </c>
      <c r="K54" s="254">
        <v>0</v>
      </c>
      <c r="L54" s="268">
        <v>0</v>
      </c>
      <c r="M54" s="254">
        <v>0</v>
      </c>
      <c r="N54" s="268">
        <v>0</v>
      </c>
      <c r="O54" s="254">
        <v>0</v>
      </c>
      <c r="P54" s="268">
        <v>0</v>
      </c>
      <c r="Q54" s="254">
        <v>0</v>
      </c>
      <c r="R54" s="268">
        <v>0</v>
      </c>
      <c r="S54" s="254">
        <v>0</v>
      </c>
      <c r="T54" s="268">
        <v>0</v>
      </c>
      <c r="U54" s="254">
        <v>0</v>
      </c>
      <c r="V54" s="268">
        <v>0</v>
      </c>
      <c r="W54" s="254">
        <v>0</v>
      </c>
      <c r="X54" s="268">
        <v>0</v>
      </c>
      <c r="Y54" s="254">
        <f>'13'!AR61</f>
        <v>0</v>
      </c>
      <c r="Z54" s="268">
        <v>0</v>
      </c>
      <c r="AA54" s="254">
        <v>0</v>
      </c>
      <c r="AB54" s="268">
        <v>0</v>
      </c>
      <c r="AC54" s="254">
        <v>0</v>
      </c>
      <c r="AD54" s="268">
        <v>0</v>
      </c>
      <c r="AE54" s="254">
        <v>0</v>
      </c>
      <c r="AF54" s="268">
        <v>0</v>
      </c>
      <c r="AG54" s="254">
        <v>0</v>
      </c>
      <c r="AH54" s="268">
        <v>0</v>
      </c>
      <c r="AI54" s="254">
        <v>0</v>
      </c>
      <c r="AJ54" s="268">
        <v>0</v>
      </c>
      <c r="AK54" s="254">
        <v>0</v>
      </c>
      <c r="AL54" s="268">
        <v>0</v>
      </c>
      <c r="AM54" s="254">
        <v>0</v>
      </c>
      <c r="AN54" s="268">
        <v>0</v>
      </c>
      <c r="AO54" s="254">
        <v>0</v>
      </c>
      <c r="AP54" s="268">
        <v>0</v>
      </c>
      <c r="AQ54" s="254">
        <v>0</v>
      </c>
      <c r="AR54" s="268">
        <v>0</v>
      </c>
      <c r="AS54" s="254">
        <v>0</v>
      </c>
      <c r="AT54" s="268">
        <v>0</v>
      </c>
      <c r="AU54" s="254">
        <v>0</v>
      </c>
      <c r="AV54" s="268">
        <v>0</v>
      </c>
      <c r="AW54" s="254">
        <v>0</v>
      </c>
      <c r="AX54" s="268" t="s">
        <v>876</v>
      </c>
      <c r="AY54" s="254">
        <v>0</v>
      </c>
      <c r="AZ54" s="259">
        <f>'10'!G51</f>
        <v>0</v>
      </c>
      <c r="BA54" s="254">
        <v>0</v>
      </c>
      <c r="BB54" s="268">
        <v>0</v>
      </c>
      <c r="BC54" s="254">
        <v>0</v>
      </c>
    </row>
    <row r="55" spans="1:55" s="273" customFormat="1" ht="47.25">
      <c r="A55" s="146" t="s">
        <v>416</v>
      </c>
      <c r="B55" s="144" t="s">
        <v>897</v>
      </c>
      <c r="C55" s="125" t="s">
        <v>876</v>
      </c>
      <c r="D55" s="255">
        <v>0</v>
      </c>
      <c r="E55" s="254">
        <v>0</v>
      </c>
      <c r="F55" s="268">
        <v>0</v>
      </c>
      <c r="G55" s="254">
        <v>0</v>
      </c>
      <c r="H55" s="268">
        <v>0</v>
      </c>
      <c r="I55" s="254">
        <v>0</v>
      </c>
      <c r="J55" s="268">
        <v>0</v>
      </c>
      <c r="K55" s="254">
        <v>0</v>
      </c>
      <c r="L55" s="268">
        <v>0</v>
      </c>
      <c r="M55" s="254">
        <v>0</v>
      </c>
      <c r="N55" s="268">
        <v>0</v>
      </c>
      <c r="O55" s="254">
        <v>0</v>
      </c>
      <c r="P55" s="268">
        <v>0</v>
      </c>
      <c r="Q55" s="254">
        <v>0</v>
      </c>
      <c r="R55" s="268">
        <v>0</v>
      </c>
      <c r="S55" s="254">
        <v>0</v>
      </c>
      <c r="T55" s="268">
        <v>0</v>
      </c>
      <c r="U55" s="254">
        <v>0</v>
      </c>
      <c r="V55" s="268">
        <v>0</v>
      </c>
      <c r="W55" s="254">
        <v>0</v>
      </c>
      <c r="X55" s="268">
        <v>0</v>
      </c>
      <c r="Y55" s="254">
        <f>'13'!AR62</f>
        <v>0</v>
      </c>
      <c r="Z55" s="268">
        <v>0</v>
      </c>
      <c r="AA55" s="254">
        <v>0</v>
      </c>
      <c r="AB55" s="268">
        <v>0</v>
      </c>
      <c r="AC55" s="254">
        <v>0</v>
      </c>
      <c r="AD55" s="268">
        <v>0</v>
      </c>
      <c r="AE55" s="254">
        <v>0</v>
      </c>
      <c r="AF55" s="268">
        <v>0</v>
      </c>
      <c r="AG55" s="254">
        <v>0</v>
      </c>
      <c r="AH55" s="268">
        <v>0</v>
      </c>
      <c r="AI55" s="254">
        <v>0</v>
      </c>
      <c r="AJ55" s="268">
        <v>0</v>
      </c>
      <c r="AK55" s="254">
        <v>0</v>
      </c>
      <c r="AL55" s="268">
        <v>0</v>
      </c>
      <c r="AM55" s="254">
        <v>0</v>
      </c>
      <c r="AN55" s="268">
        <v>0</v>
      </c>
      <c r="AO55" s="254">
        <v>0</v>
      </c>
      <c r="AP55" s="268">
        <v>0</v>
      </c>
      <c r="AQ55" s="254">
        <v>0</v>
      </c>
      <c r="AR55" s="268">
        <v>0</v>
      </c>
      <c r="AS55" s="254">
        <v>0</v>
      </c>
      <c r="AT55" s="268">
        <v>0</v>
      </c>
      <c r="AU55" s="254">
        <v>0</v>
      </c>
      <c r="AV55" s="268">
        <v>0</v>
      </c>
      <c r="AW55" s="254">
        <v>0</v>
      </c>
      <c r="AX55" s="268" t="s">
        <v>876</v>
      </c>
      <c r="AY55" s="254">
        <v>0</v>
      </c>
      <c r="AZ55" s="259">
        <f>'10'!G52</f>
        <v>0</v>
      </c>
      <c r="BA55" s="254">
        <v>0</v>
      </c>
      <c r="BB55" s="268">
        <v>0</v>
      </c>
      <c r="BC55" s="254">
        <v>0</v>
      </c>
    </row>
    <row r="56" spans="1:55" s="273" customFormat="1" ht="63">
      <c r="A56" s="118" t="s">
        <v>745</v>
      </c>
      <c r="B56" s="144" t="s">
        <v>898</v>
      </c>
      <c r="C56" s="125" t="s">
        <v>876</v>
      </c>
      <c r="D56" s="255">
        <v>0</v>
      </c>
      <c r="E56" s="254">
        <v>0</v>
      </c>
      <c r="F56" s="268">
        <v>0</v>
      </c>
      <c r="G56" s="254">
        <v>0</v>
      </c>
      <c r="H56" s="268">
        <v>0</v>
      </c>
      <c r="I56" s="254">
        <v>0</v>
      </c>
      <c r="J56" s="268">
        <v>0</v>
      </c>
      <c r="K56" s="254">
        <v>0</v>
      </c>
      <c r="L56" s="268">
        <v>0</v>
      </c>
      <c r="M56" s="254">
        <v>0</v>
      </c>
      <c r="N56" s="268">
        <v>0</v>
      </c>
      <c r="O56" s="254">
        <v>0</v>
      </c>
      <c r="P56" s="268">
        <v>0</v>
      </c>
      <c r="Q56" s="254">
        <v>0</v>
      </c>
      <c r="R56" s="268">
        <v>0</v>
      </c>
      <c r="S56" s="254">
        <v>0</v>
      </c>
      <c r="T56" s="268">
        <v>0</v>
      </c>
      <c r="U56" s="254">
        <v>0</v>
      </c>
      <c r="V56" s="268">
        <v>0</v>
      </c>
      <c r="W56" s="254">
        <v>0</v>
      </c>
      <c r="X56" s="268">
        <v>0</v>
      </c>
      <c r="Y56" s="254">
        <f>'13'!AR63</f>
        <v>0</v>
      </c>
      <c r="Z56" s="268">
        <v>0</v>
      </c>
      <c r="AA56" s="254">
        <v>0</v>
      </c>
      <c r="AB56" s="268">
        <v>0</v>
      </c>
      <c r="AC56" s="254">
        <v>0</v>
      </c>
      <c r="AD56" s="268">
        <v>0</v>
      </c>
      <c r="AE56" s="254">
        <v>0</v>
      </c>
      <c r="AF56" s="268">
        <v>0</v>
      </c>
      <c r="AG56" s="254">
        <v>0</v>
      </c>
      <c r="AH56" s="268">
        <v>0</v>
      </c>
      <c r="AI56" s="254">
        <v>0</v>
      </c>
      <c r="AJ56" s="268">
        <v>0</v>
      </c>
      <c r="AK56" s="254">
        <v>0</v>
      </c>
      <c r="AL56" s="268">
        <v>0</v>
      </c>
      <c r="AM56" s="254">
        <v>0</v>
      </c>
      <c r="AN56" s="268">
        <v>0</v>
      </c>
      <c r="AO56" s="254">
        <v>0</v>
      </c>
      <c r="AP56" s="268">
        <v>0</v>
      </c>
      <c r="AQ56" s="254">
        <v>0</v>
      </c>
      <c r="AR56" s="268">
        <v>0</v>
      </c>
      <c r="AS56" s="254">
        <v>0</v>
      </c>
      <c r="AT56" s="268">
        <v>0</v>
      </c>
      <c r="AU56" s="254">
        <v>0</v>
      </c>
      <c r="AV56" s="268">
        <v>0</v>
      </c>
      <c r="AW56" s="254">
        <v>0</v>
      </c>
      <c r="AX56" s="268" t="s">
        <v>876</v>
      </c>
      <c r="AY56" s="254">
        <v>0</v>
      </c>
      <c r="AZ56" s="259">
        <f>'10'!G53</f>
        <v>0</v>
      </c>
      <c r="BA56" s="254">
        <v>0</v>
      </c>
      <c r="BB56" s="268">
        <v>0</v>
      </c>
      <c r="BC56" s="254">
        <v>0</v>
      </c>
    </row>
    <row r="57" spans="1:55" s="273" customFormat="1" ht="63">
      <c r="A57" s="146" t="s">
        <v>899</v>
      </c>
      <c r="B57" s="144" t="s">
        <v>900</v>
      </c>
      <c r="C57" s="125" t="s">
        <v>876</v>
      </c>
      <c r="D57" s="271">
        <v>0</v>
      </c>
      <c r="E57" s="254">
        <v>0</v>
      </c>
      <c r="F57" s="270">
        <v>0</v>
      </c>
      <c r="G57" s="254">
        <v>0</v>
      </c>
      <c r="H57" s="270">
        <v>0</v>
      </c>
      <c r="I57" s="254">
        <v>0</v>
      </c>
      <c r="J57" s="270">
        <v>0</v>
      </c>
      <c r="K57" s="254">
        <v>0</v>
      </c>
      <c r="L57" s="270">
        <v>0</v>
      </c>
      <c r="M57" s="254">
        <v>0</v>
      </c>
      <c r="N57" s="270">
        <v>0</v>
      </c>
      <c r="O57" s="254">
        <v>0</v>
      </c>
      <c r="P57" s="270">
        <v>0</v>
      </c>
      <c r="Q57" s="254">
        <v>0</v>
      </c>
      <c r="R57" s="270">
        <v>0</v>
      </c>
      <c r="S57" s="254">
        <v>0</v>
      </c>
      <c r="T57" s="270">
        <v>0</v>
      </c>
      <c r="U57" s="254">
        <v>0</v>
      </c>
      <c r="V57" s="270">
        <v>0</v>
      </c>
      <c r="W57" s="254">
        <v>0</v>
      </c>
      <c r="X57" s="270">
        <v>0</v>
      </c>
      <c r="Y57" s="254">
        <f>'13'!AR64</f>
        <v>0</v>
      </c>
      <c r="Z57" s="270">
        <v>0</v>
      </c>
      <c r="AA57" s="254">
        <v>0</v>
      </c>
      <c r="AB57" s="270">
        <v>0</v>
      </c>
      <c r="AC57" s="254">
        <v>0</v>
      </c>
      <c r="AD57" s="270">
        <v>0</v>
      </c>
      <c r="AE57" s="254">
        <v>0</v>
      </c>
      <c r="AF57" s="270">
        <v>0</v>
      </c>
      <c r="AG57" s="254">
        <v>0</v>
      </c>
      <c r="AH57" s="270">
        <v>0</v>
      </c>
      <c r="AI57" s="254">
        <v>0</v>
      </c>
      <c r="AJ57" s="270">
        <v>0</v>
      </c>
      <c r="AK57" s="254">
        <v>0</v>
      </c>
      <c r="AL57" s="270">
        <v>0</v>
      </c>
      <c r="AM57" s="254">
        <v>0</v>
      </c>
      <c r="AN57" s="270">
        <v>0</v>
      </c>
      <c r="AO57" s="254">
        <v>0</v>
      </c>
      <c r="AP57" s="270">
        <v>0</v>
      </c>
      <c r="AQ57" s="254">
        <v>0</v>
      </c>
      <c r="AR57" s="270">
        <v>0</v>
      </c>
      <c r="AS57" s="254">
        <v>0</v>
      </c>
      <c r="AT57" s="270">
        <v>0</v>
      </c>
      <c r="AU57" s="254">
        <v>0</v>
      </c>
      <c r="AV57" s="270">
        <v>0</v>
      </c>
      <c r="AW57" s="254">
        <v>0</v>
      </c>
      <c r="AX57" s="270" t="s">
        <v>876</v>
      </c>
      <c r="AY57" s="254">
        <v>0</v>
      </c>
      <c r="AZ57" s="259">
        <v>0</v>
      </c>
      <c r="BA57" s="254">
        <v>0</v>
      </c>
      <c r="BB57" s="270">
        <v>0</v>
      </c>
      <c r="BC57" s="254">
        <v>0</v>
      </c>
    </row>
    <row r="58" spans="1:55" s="273" customFormat="1" ht="141.75">
      <c r="A58" s="146" t="s">
        <v>899</v>
      </c>
      <c r="B58" s="144" t="s">
        <v>901</v>
      </c>
      <c r="C58" s="125" t="s">
        <v>876</v>
      </c>
      <c r="D58" s="271" t="s">
        <v>1009</v>
      </c>
      <c r="E58" s="254">
        <v>0</v>
      </c>
      <c r="F58" s="270" t="s">
        <v>1009</v>
      </c>
      <c r="G58" s="254">
        <v>0</v>
      </c>
      <c r="H58" s="270" t="s">
        <v>1009</v>
      </c>
      <c r="I58" s="254">
        <v>0</v>
      </c>
      <c r="J58" s="270" t="s">
        <v>1009</v>
      </c>
      <c r="K58" s="254">
        <v>0</v>
      </c>
      <c r="L58" s="270" t="s">
        <v>1009</v>
      </c>
      <c r="M58" s="254">
        <v>0</v>
      </c>
      <c r="N58" s="270" t="s">
        <v>1009</v>
      </c>
      <c r="O58" s="254">
        <v>0</v>
      </c>
      <c r="P58" s="270" t="s">
        <v>1009</v>
      </c>
      <c r="Q58" s="254">
        <v>0</v>
      </c>
      <c r="R58" s="270" t="s">
        <v>1009</v>
      </c>
      <c r="S58" s="254">
        <v>0</v>
      </c>
      <c r="T58" s="270" t="s">
        <v>1009</v>
      </c>
      <c r="U58" s="254">
        <v>0</v>
      </c>
      <c r="V58" s="270" t="s">
        <v>1009</v>
      </c>
      <c r="W58" s="254">
        <v>0</v>
      </c>
      <c r="X58" s="270" t="s">
        <v>1009</v>
      </c>
      <c r="Y58" s="254">
        <f>'13'!AR65</f>
        <v>0</v>
      </c>
      <c r="Z58" s="270" t="s">
        <v>1009</v>
      </c>
      <c r="AA58" s="254">
        <v>0</v>
      </c>
      <c r="AB58" s="270" t="s">
        <v>1009</v>
      </c>
      <c r="AC58" s="254">
        <v>0</v>
      </c>
      <c r="AD58" s="270" t="s">
        <v>1009</v>
      </c>
      <c r="AE58" s="254">
        <v>0</v>
      </c>
      <c r="AF58" s="270" t="s">
        <v>1009</v>
      </c>
      <c r="AG58" s="254">
        <v>0</v>
      </c>
      <c r="AH58" s="270" t="s">
        <v>1009</v>
      </c>
      <c r="AI58" s="254">
        <v>0</v>
      </c>
      <c r="AJ58" s="270" t="s">
        <v>1009</v>
      </c>
      <c r="AK58" s="254">
        <v>0</v>
      </c>
      <c r="AL58" s="270" t="s">
        <v>1009</v>
      </c>
      <c r="AM58" s="254">
        <v>0</v>
      </c>
      <c r="AN58" s="270" t="s">
        <v>1009</v>
      </c>
      <c r="AO58" s="254">
        <v>0</v>
      </c>
      <c r="AP58" s="270" t="s">
        <v>1009</v>
      </c>
      <c r="AQ58" s="254">
        <v>0</v>
      </c>
      <c r="AR58" s="270" t="s">
        <v>1009</v>
      </c>
      <c r="AS58" s="254">
        <v>0</v>
      </c>
      <c r="AT58" s="270" t="s">
        <v>1009</v>
      </c>
      <c r="AU58" s="254">
        <v>0</v>
      </c>
      <c r="AV58" s="270" t="s">
        <v>1009</v>
      </c>
      <c r="AW58" s="254">
        <v>0</v>
      </c>
      <c r="AX58" s="270" t="s">
        <v>876</v>
      </c>
      <c r="AY58" s="254">
        <v>0</v>
      </c>
      <c r="AZ58" s="259">
        <v>0</v>
      </c>
      <c r="BA58" s="254">
        <v>0</v>
      </c>
      <c r="BB58" s="270" t="s">
        <v>1009</v>
      </c>
      <c r="BC58" s="254">
        <v>0</v>
      </c>
    </row>
    <row r="59" spans="1:55" s="273" customFormat="1" ht="126">
      <c r="A59" s="146" t="s">
        <v>899</v>
      </c>
      <c r="B59" s="144" t="s">
        <v>902</v>
      </c>
      <c r="C59" s="125" t="s">
        <v>876</v>
      </c>
      <c r="D59" s="271" t="s">
        <v>1009</v>
      </c>
      <c r="E59" s="254">
        <v>0</v>
      </c>
      <c r="F59" s="270" t="s">
        <v>1009</v>
      </c>
      <c r="G59" s="254">
        <v>0</v>
      </c>
      <c r="H59" s="270" t="s">
        <v>1009</v>
      </c>
      <c r="I59" s="254">
        <v>0</v>
      </c>
      <c r="J59" s="270" t="s">
        <v>1009</v>
      </c>
      <c r="K59" s="254">
        <v>0</v>
      </c>
      <c r="L59" s="270" t="s">
        <v>1009</v>
      </c>
      <c r="M59" s="254">
        <v>0</v>
      </c>
      <c r="N59" s="270" t="s">
        <v>1009</v>
      </c>
      <c r="O59" s="254">
        <v>0</v>
      </c>
      <c r="P59" s="270" t="s">
        <v>1009</v>
      </c>
      <c r="Q59" s="254">
        <v>0</v>
      </c>
      <c r="R59" s="270" t="s">
        <v>1009</v>
      </c>
      <c r="S59" s="254">
        <v>0</v>
      </c>
      <c r="T59" s="270" t="s">
        <v>1009</v>
      </c>
      <c r="U59" s="254">
        <v>0</v>
      </c>
      <c r="V59" s="270" t="s">
        <v>1009</v>
      </c>
      <c r="W59" s="254">
        <v>0</v>
      </c>
      <c r="X59" s="270" t="s">
        <v>1009</v>
      </c>
      <c r="Y59" s="254">
        <f>'13'!AR66</f>
        <v>0</v>
      </c>
      <c r="Z59" s="270" t="s">
        <v>1009</v>
      </c>
      <c r="AA59" s="254">
        <v>0</v>
      </c>
      <c r="AB59" s="270" t="s">
        <v>1009</v>
      </c>
      <c r="AC59" s="254">
        <v>0</v>
      </c>
      <c r="AD59" s="270" t="s">
        <v>1009</v>
      </c>
      <c r="AE59" s="254">
        <v>0</v>
      </c>
      <c r="AF59" s="270" t="s">
        <v>1009</v>
      </c>
      <c r="AG59" s="254">
        <v>0</v>
      </c>
      <c r="AH59" s="270" t="s">
        <v>1009</v>
      </c>
      <c r="AI59" s="254">
        <v>0</v>
      </c>
      <c r="AJ59" s="270" t="s">
        <v>1009</v>
      </c>
      <c r="AK59" s="254">
        <v>0</v>
      </c>
      <c r="AL59" s="270" t="s">
        <v>1009</v>
      </c>
      <c r="AM59" s="254">
        <v>0</v>
      </c>
      <c r="AN59" s="270" t="s">
        <v>1009</v>
      </c>
      <c r="AO59" s="254">
        <v>0</v>
      </c>
      <c r="AP59" s="270" t="s">
        <v>1009</v>
      </c>
      <c r="AQ59" s="254">
        <v>0</v>
      </c>
      <c r="AR59" s="270" t="s">
        <v>1009</v>
      </c>
      <c r="AS59" s="254">
        <v>0</v>
      </c>
      <c r="AT59" s="270" t="s">
        <v>1009</v>
      </c>
      <c r="AU59" s="254">
        <v>0</v>
      </c>
      <c r="AV59" s="270" t="s">
        <v>1009</v>
      </c>
      <c r="AW59" s="254">
        <v>0</v>
      </c>
      <c r="AX59" s="270" t="s">
        <v>876</v>
      </c>
      <c r="AY59" s="254">
        <v>0</v>
      </c>
      <c r="AZ59" s="259">
        <v>0</v>
      </c>
      <c r="BA59" s="254">
        <v>0</v>
      </c>
      <c r="BB59" s="270" t="s">
        <v>1009</v>
      </c>
      <c r="BC59" s="254">
        <v>0</v>
      </c>
    </row>
    <row r="60" spans="1:55" s="273" customFormat="1" ht="126">
      <c r="A60" s="146" t="s">
        <v>899</v>
      </c>
      <c r="B60" s="144" t="s">
        <v>903</v>
      </c>
      <c r="C60" s="125" t="s">
        <v>876</v>
      </c>
      <c r="D60" s="271" t="s">
        <v>1009</v>
      </c>
      <c r="E60" s="254">
        <v>0</v>
      </c>
      <c r="F60" s="270" t="s">
        <v>1009</v>
      </c>
      <c r="G60" s="254">
        <v>0</v>
      </c>
      <c r="H60" s="270" t="s">
        <v>1009</v>
      </c>
      <c r="I60" s="254">
        <v>0</v>
      </c>
      <c r="J60" s="270" t="s">
        <v>1009</v>
      </c>
      <c r="K60" s="254">
        <v>0</v>
      </c>
      <c r="L60" s="270" t="s">
        <v>1009</v>
      </c>
      <c r="M60" s="254">
        <v>0</v>
      </c>
      <c r="N60" s="270" t="s">
        <v>1009</v>
      </c>
      <c r="O60" s="254">
        <v>0</v>
      </c>
      <c r="P60" s="270" t="s">
        <v>1009</v>
      </c>
      <c r="Q60" s="254">
        <v>0</v>
      </c>
      <c r="R60" s="270" t="s">
        <v>1009</v>
      </c>
      <c r="S60" s="254">
        <v>0</v>
      </c>
      <c r="T60" s="270" t="s">
        <v>1009</v>
      </c>
      <c r="U60" s="254">
        <v>0</v>
      </c>
      <c r="V60" s="270" t="s">
        <v>1009</v>
      </c>
      <c r="W60" s="254">
        <v>0</v>
      </c>
      <c r="X60" s="270" t="s">
        <v>1009</v>
      </c>
      <c r="Y60" s="254">
        <f>'13'!AR67</f>
        <v>0</v>
      </c>
      <c r="Z60" s="270" t="s">
        <v>1009</v>
      </c>
      <c r="AA60" s="254">
        <v>0</v>
      </c>
      <c r="AB60" s="270" t="s">
        <v>1009</v>
      </c>
      <c r="AC60" s="254">
        <v>0</v>
      </c>
      <c r="AD60" s="270" t="s">
        <v>1009</v>
      </c>
      <c r="AE60" s="254">
        <v>0</v>
      </c>
      <c r="AF60" s="270" t="s">
        <v>1009</v>
      </c>
      <c r="AG60" s="254">
        <v>0</v>
      </c>
      <c r="AH60" s="270" t="s">
        <v>1009</v>
      </c>
      <c r="AI60" s="254">
        <v>0</v>
      </c>
      <c r="AJ60" s="270" t="s">
        <v>1009</v>
      </c>
      <c r="AK60" s="254">
        <v>0</v>
      </c>
      <c r="AL60" s="270" t="s">
        <v>1009</v>
      </c>
      <c r="AM60" s="254">
        <v>0</v>
      </c>
      <c r="AN60" s="270" t="s">
        <v>1009</v>
      </c>
      <c r="AO60" s="254">
        <v>0</v>
      </c>
      <c r="AP60" s="270" t="s">
        <v>1009</v>
      </c>
      <c r="AQ60" s="254">
        <v>0</v>
      </c>
      <c r="AR60" s="270" t="s">
        <v>1009</v>
      </c>
      <c r="AS60" s="254">
        <v>0</v>
      </c>
      <c r="AT60" s="270" t="s">
        <v>1009</v>
      </c>
      <c r="AU60" s="254">
        <v>0</v>
      </c>
      <c r="AV60" s="270" t="s">
        <v>1009</v>
      </c>
      <c r="AW60" s="254">
        <v>0</v>
      </c>
      <c r="AX60" s="270" t="s">
        <v>876</v>
      </c>
      <c r="AY60" s="254">
        <v>0</v>
      </c>
      <c r="AZ60" s="259">
        <v>0</v>
      </c>
      <c r="BA60" s="254">
        <v>0</v>
      </c>
      <c r="BB60" s="270" t="s">
        <v>1009</v>
      </c>
      <c r="BC60" s="254">
        <v>0</v>
      </c>
    </row>
    <row r="61" spans="1:55" s="273" customFormat="1" ht="63">
      <c r="A61" s="146" t="s">
        <v>904</v>
      </c>
      <c r="B61" s="144" t="s">
        <v>900</v>
      </c>
      <c r="C61" s="125" t="s">
        <v>876</v>
      </c>
      <c r="D61" s="271">
        <v>0</v>
      </c>
      <c r="E61" s="254">
        <v>0</v>
      </c>
      <c r="F61" s="270">
        <v>0</v>
      </c>
      <c r="G61" s="254">
        <v>0</v>
      </c>
      <c r="H61" s="270">
        <v>0</v>
      </c>
      <c r="I61" s="254">
        <v>0</v>
      </c>
      <c r="J61" s="270">
        <v>0</v>
      </c>
      <c r="K61" s="254">
        <v>0</v>
      </c>
      <c r="L61" s="270">
        <v>0</v>
      </c>
      <c r="M61" s="254">
        <v>0</v>
      </c>
      <c r="N61" s="270">
        <v>0</v>
      </c>
      <c r="O61" s="254">
        <v>0</v>
      </c>
      <c r="P61" s="270">
        <v>0</v>
      </c>
      <c r="Q61" s="254">
        <v>0</v>
      </c>
      <c r="R61" s="270">
        <v>0</v>
      </c>
      <c r="S61" s="254">
        <v>0</v>
      </c>
      <c r="T61" s="270">
        <v>0</v>
      </c>
      <c r="U61" s="254">
        <v>0</v>
      </c>
      <c r="V61" s="270">
        <v>0</v>
      </c>
      <c r="W61" s="254">
        <v>0</v>
      </c>
      <c r="X61" s="270">
        <v>0</v>
      </c>
      <c r="Y61" s="254">
        <f>'13'!AR68</f>
        <v>0</v>
      </c>
      <c r="Z61" s="270">
        <v>0</v>
      </c>
      <c r="AA61" s="254">
        <v>0</v>
      </c>
      <c r="AB61" s="270">
        <v>0</v>
      </c>
      <c r="AC61" s="254">
        <v>0</v>
      </c>
      <c r="AD61" s="270">
        <v>0</v>
      </c>
      <c r="AE61" s="254">
        <v>0</v>
      </c>
      <c r="AF61" s="270">
        <v>0</v>
      </c>
      <c r="AG61" s="254">
        <v>0</v>
      </c>
      <c r="AH61" s="270">
        <v>0</v>
      </c>
      <c r="AI61" s="254">
        <v>0</v>
      </c>
      <c r="AJ61" s="270">
        <v>0</v>
      </c>
      <c r="AK61" s="254">
        <v>0</v>
      </c>
      <c r="AL61" s="270">
        <v>0</v>
      </c>
      <c r="AM61" s="254">
        <v>0</v>
      </c>
      <c r="AN61" s="270">
        <v>0</v>
      </c>
      <c r="AO61" s="254">
        <v>0</v>
      </c>
      <c r="AP61" s="270">
        <v>0</v>
      </c>
      <c r="AQ61" s="254">
        <v>0</v>
      </c>
      <c r="AR61" s="270">
        <v>0</v>
      </c>
      <c r="AS61" s="254">
        <v>0</v>
      </c>
      <c r="AT61" s="270">
        <v>0</v>
      </c>
      <c r="AU61" s="254">
        <v>0</v>
      </c>
      <c r="AV61" s="270">
        <v>0</v>
      </c>
      <c r="AW61" s="254">
        <v>0</v>
      </c>
      <c r="AX61" s="270" t="s">
        <v>876</v>
      </c>
      <c r="AY61" s="254">
        <v>0</v>
      </c>
      <c r="AZ61" s="259">
        <v>0</v>
      </c>
      <c r="BA61" s="254">
        <v>0</v>
      </c>
      <c r="BB61" s="270">
        <v>0</v>
      </c>
      <c r="BC61" s="254">
        <v>0</v>
      </c>
    </row>
    <row r="62" spans="1:55" s="273" customFormat="1" ht="141.75">
      <c r="A62" s="146" t="s">
        <v>904</v>
      </c>
      <c r="B62" s="144" t="s">
        <v>901</v>
      </c>
      <c r="C62" s="125" t="s">
        <v>876</v>
      </c>
      <c r="D62" s="255">
        <v>0</v>
      </c>
      <c r="E62" s="254">
        <v>0</v>
      </c>
      <c r="F62" s="268">
        <v>0</v>
      </c>
      <c r="G62" s="254">
        <v>0</v>
      </c>
      <c r="H62" s="268">
        <v>0</v>
      </c>
      <c r="I62" s="254">
        <v>0</v>
      </c>
      <c r="J62" s="268">
        <v>0</v>
      </c>
      <c r="K62" s="254">
        <v>0</v>
      </c>
      <c r="L62" s="268">
        <v>0</v>
      </c>
      <c r="M62" s="254">
        <v>0</v>
      </c>
      <c r="N62" s="268">
        <v>0</v>
      </c>
      <c r="O62" s="254">
        <v>0</v>
      </c>
      <c r="P62" s="268">
        <v>0</v>
      </c>
      <c r="Q62" s="254">
        <v>0</v>
      </c>
      <c r="R62" s="268">
        <v>0</v>
      </c>
      <c r="S62" s="254">
        <v>0</v>
      </c>
      <c r="T62" s="268">
        <v>0</v>
      </c>
      <c r="U62" s="254">
        <v>0</v>
      </c>
      <c r="V62" s="268">
        <v>0</v>
      </c>
      <c r="W62" s="254">
        <v>0</v>
      </c>
      <c r="X62" s="268">
        <v>0</v>
      </c>
      <c r="Y62" s="254">
        <f>'13'!AR69</f>
        <v>0</v>
      </c>
      <c r="Z62" s="268">
        <v>0</v>
      </c>
      <c r="AA62" s="254">
        <v>0</v>
      </c>
      <c r="AB62" s="268">
        <v>0</v>
      </c>
      <c r="AC62" s="254">
        <v>0</v>
      </c>
      <c r="AD62" s="268">
        <v>0</v>
      </c>
      <c r="AE62" s="254">
        <v>0</v>
      </c>
      <c r="AF62" s="268">
        <v>0</v>
      </c>
      <c r="AG62" s="254">
        <v>0</v>
      </c>
      <c r="AH62" s="268">
        <v>0</v>
      </c>
      <c r="AI62" s="254">
        <v>0</v>
      </c>
      <c r="AJ62" s="268">
        <v>0</v>
      </c>
      <c r="AK62" s="254">
        <v>0</v>
      </c>
      <c r="AL62" s="268">
        <v>0</v>
      </c>
      <c r="AM62" s="254">
        <v>0</v>
      </c>
      <c r="AN62" s="268">
        <v>0</v>
      </c>
      <c r="AO62" s="254">
        <v>0</v>
      </c>
      <c r="AP62" s="268">
        <v>0</v>
      </c>
      <c r="AQ62" s="254">
        <v>0</v>
      </c>
      <c r="AR62" s="268">
        <v>0</v>
      </c>
      <c r="AS62" s="254">
        <v>0</v>
      </c>
      <c r="AT62" s="268">
        <v>0</v>
      </c>
      <c r="AU62" s="254">
        <v>0</v>
      </c>
      <c r="AV62" s="268">
        <v>0</v>
      </c>
      <c r="AW62" s="254">
        <v>0</v>
      </c>
      <c r="AX62" s="268" t="s">
        <v>876</v>
      </c>
      <c r="AY62" s="254">
        <v>0</v>
      </c>
      <c r="AZ62" s="259">
        <v>0</v>
      </c>
      <c r="BA62" s="254">
        <v>0</v>
      </c>
      <c r="BB62" s="268">
        <v>0</v>
      </c>
      <c r="BC62" s="254">
        <v>0</v>
      </c>
    </row>
    <row r="63" spans="1:55" s="273" customFormat="1" ht="126">
      <c r="A63" s="146" t="s">
        <v>904</v>
      </c>
      <c r="B63" s="144" t="s">
        <v>902</v>
      </c>
      <c r="C63" s="125" t="s">
        <v>876</v>
      </c>
      <c r="D63" s="271" t="s">
        <v>1009</v>
      </c>
      <c r="E63" s="254">
        <v>0</v>
      </c>
      <c r="F63" s="270" t="s">
        <v>1009</v>
      </c>
      <c r="G63" s="254">
        <v>0</v>
      </c>
      <c r="H63" s="270" t="s">
        <v>1009</v>
      </c>
      <c r="I63" s="254">
        <v>0</v>
      </c>
      <c r="J63" s="270" t="s">
        <v>1009</v>
      </c>
      <c r="K63" s="254">
        <v>0</v>
      </c>
      <c r="L63" s="270" t="s">
        <v>1009</v>
      </c>
      <c r="M63" s="254">
        <v>0</v>
      </c>
      <c r="N63" s="270" t="s">
        <v>1009</v>
      </c>
      <c r="O63" s="254">
        <v>0</v>
      </c>
      <c r="P63" s="270" t="s">
        <v>1009</v>
      </c>
      <c r="Q63" s="254">
        <v>0</v>
      </c>
      <c r="R63" s="270" t="s">
        <v>1009</v>
      </c>
      <c r="S63" s="254">
        <v>0</v>
      </c>
      <c r="T63" s="270" t="s">
        <v>1009</v>
      </c>
      <c r="U63" s="254">
        <v>0</v>
      </c>
      <c r="V63" s="270" t="s">
        <v>1009</v>
      </c>
      <c r="W63" s="254">
        <v>0</v>
      </c>
      <c r="X63" s="270" t="s">
        <v>1009</v>
      </c>
      <c r="Y63" s="254">
        <f>'13'!AR70</f>
        <v>0</v>
      </c>
      <c r="Z63" s="270" t="s">
        <v>1009</v>
      </c>
      <c r="AA63" s="254">
        <v>0</v>
      </c>
      <c r="AB63" s="270" t="s">
        <v>1009</v>
      </c>
      <c r="AC63" s="254">
        <v>0</v>
      </c>
      <c r="AD63" s="270" t="s">
        <v>1009</v>
      </c>
      <c r="AE63" s="254">
        <v>0</v>
      </c>
      <c r="AF63" s="270" t="s">
        <v>1009</v>
      </c>
      <c r="AG63" s="254">
        <v>0</v>
      </c>
      <c r="AH63" s="270" t="s">
        <v>1009</v>
      </c>
      <c r="AI63" s="254">
        <v>0</v>
      </c>
      <c r="AJ63" s="270" t="s">
        <v>1009</v>
      </c>
      <c r="AK63" s="254">
        <v>0</v>
      </c>
      <c r="AL63" s="270" t="s">
        <v>1009</v>
      </c>
      <c r="AM63" s="254">
        <v>0</v>
      </c>
      <c r="AN63" s="270" t="s">
        <v>1009</v>
      </c>
      <c r="AO63" s="254">
        <v>0</v>
      </c>
      <c r="AP63" s="270" t="s">
        <v>1009</v>
      </c>
      <c r="AQ63" s="254">
        <v>0</v>
      </c>
      <c r="AR63" s="270" t="s">
        <v>1009</v>
      </c>
      <c r="AS63" s="254">
        <v>0</v>
      </c>
      <c r="AT63" s="270" t="s">
        <v>1009</v>
      </c>
      <c r="AU63" s="254">
        <v>0</v>
      </c>
      <c r="AV63" s="270" t="s">
        <v>1009</v>
      </c>
      <c r="AW63" s="254">
        <v>0</v>
      </c>
      <c r="AX63" s="270" t="s">
        <v>876</v>
      </c>
      <c r="AY63" s="254">
        <v>0</v>
      </c>
      <c r="AZ63" s="259">
        <v>0</v>
      </c>
      <c r="BA63" s="254">
        <v>0</v>
      </c>
      <c r="BB63" s="270" t="s">
        <v>1009</v>
      </c>
      <c r="BC63" s="254">
        <v>0</v>
      </c>
    </row>
    <row r="64" spans="1:55" s="273" customFormat="1" ht="126">
      <c r="A64" s="146" t="s">
        <v>904</v>
      </c>
      <c r="B64" s="144" t="s">
        <v>903</v>
      </c>
      <c r="C64" s="125" t="s">
        <v>876</v>
      </c>
      <c r="D64" s="271" t="s">
        <v>1009</v>
      </c>
      <c r="E64" s="254">
        <v>0</v>
      </c>
      <c r="F64" s="270" t="s">
        <v>1009</v>
      </c>
      <c r="G64" s="254">
        <v>0</v>
      </c>
      <c r="H64" s="270" t="s">
        <v>1009</v>
      </c>
      <c r="I64" s="254">
        <v>0</v>
      </c>
      <c r="J64" s="270" t="s">
        <v>1009</v>
      </c>
      <c r="K64" s="254">
        <v>0</v>
      </c>
      <c r="L64" s="270" t="s">
        <v>1009</v>
      </c>
      <c r="M64" s="254">
        <v>0</v>
      </c>
      <c r="N64" s="270" t="s">
        <v>1009</v>
      </c>
      <c r="O64" s="254">
        <v>0</v>
      </c>
      <c r="P64" s="270" t="s">
        <v>1009</v>
      </c>
      <c r="Q64" s="254">
        <v>0</v>
      </c>
      <c r="R64" s="270" t="s">
        <v>1009</v>
      </c>
      <c r="S64" s="254">
        <v>0</v>
      </c>
      <c r="T64" s="270" t="s">
        <v>1009</v>
      </c>
      <c r="U64" s="254">
        <v>0</v>
      </c>
      <c r="V64" s="270" t="s">
        <v>1009</v>
      </c>
      <c r="W64" s="254">
        <v>0</v>
      </c>
      <c r="X64" s="270" t="s">
        <v>1009</v>
      </c>
      <c r="Y64" s="254">
        <f>'13'!AR71</f>
        <v>0</v>
      </c>
      <c r="Z64" s="270" t="s">
        <v>1009</v>
      </c>
      <c r="AA64" s="254">
        <v>0</v>
      </c>
      <c r="AB64" s="270" t="s">
        <v>1009</v>
      </c>
      <c r="AC64" s="254">
        <v>0</v>
      </c>
      <c r="AD64" s="270" t="s">
        <v>1009</v>
      </c>
      <c r="AE64" s="254">
        <v>0</v>
      </c>
      <c r="AF64" s="270" t="s">
        <v>1009</v>
      </c>
      <c r="AG64" s="254">
        <v>0</v>
      </c>
      <c r="AH64" s="270" t="s">
        <v>1009</v>
      </c>
      <c r="AI64" s="254">
        <v>0</v>
      </c>
      <c r="AJ64" s="270" t="s">
        <v>1009</v>
      </c>
      <c r="AK64" s="254">
        <v>0</v>
      </c>
      <c r="AL64" s="270" t="s">
        <v>1009</v>
      </c>
      <c r="AM64" s="254">
        <v>0</v>
      </c>
      <c r="AN64" s="270" t="s">
        <v>1009</v>
      </c>
      <c r="AO64" s="254">
        <v>0</v>
      </c>
      <c r="AP64" s="270" t="s">
        <v>1009</v>
      </c>
      <c r="AQ64" s="254">
        <v>0</v>
      </c>
      <c r="AR64" s="270" t="s">
        <v>1009</v>
      </c>
      <c r="AS64" s="254">
        <v>0</v>
      </c>
      <c r="AT64" s="270" t="s">
        <v>1009</v>
      </c>
      <c r="AU64" s="254">
        <v>0</v>
      </c>
      <c r="AV64" s="270" t="s">
        <v>1009</v>
      </c>
      <c r="AW64" s="254">
        <v>0</v>
      </c>
      <c r="AX64" s="270" t="s">
        <v>876</v>
      </c>
      <c r="AY64" s="254">
        <v>0</v>
      </c>
      <c r="AZ64" s="259">
        <v>0</v>
      </c>
      <c r="BA64" s="254">
        <v>0</v>
      </c>
      <c r="BB64" s="270" t="s">
        <v>1009</v>
      </c>
      <c r="BC64" s="254">
        <v>0</v>
      </c>
    </row>
    <row r="65" spans="1:55" s="273" customFormat="1" ht="110.25">
      <c r="A65" s="118" t="s">
        <v>905</v>
      </c>
      <c r="B65" s="144" t="s">
        <v>906</v>
      </c>
      <c r="C65" s="125" t="s">
        <v>876</v>
      </c>
      <c r="D65" s="271">
        <v>0</v>
      </c>
      <c r="E65" s="254">
        <v>0</v>
      </c>
      <c r="F65" s="270">
        <v>0</v>
      </c>
      <c r="G65" s="254">
        <v>0</v>
      </c>
      <c r="H65" s="270">
        <v>0</v>
      </c>
      <c r="I65" s="254">
        <v>0</v>
      </c>
      <c r="J65" s="270">
        <v>0</v>
      </c>
      <c r="K65" s="254">
        <v>0</v>
      </c>
      <c r="L65" s="270">
        <v>0</v>
      </c>
      <c r="M65" s="254">
        <v>0</v>
      </c>
      <c r="N65" s="270">
        <v>0</v>
      </c>
      <c r="O65" s="254">
        <v>0</v>
      </c>
      <c r="P65" s="270">
        <v>0</v>
      </c>
      <c r="Q65" s="254">
        <v>0</v>
      </c>
      <c r="R65" s="270">
        <v>0</v>
      </c>
      <c r="S65" s="254">
        <v>0</v>
      </c>
      <c r="T65" s="270">
        <v>0</v>
      </c>
      <c r="U65" s="254">
        <v>0</v>
      </c>
      <c r="V65" s="270">
        <v>0</v>
      </c>
      <c r="W65" s="254">
        <v>0</v>
      </c>
      <c r="X65" s="270">
        <v>0</v>
      </c>
      <c r="Y65" s="254">
        <f>'13'!AR72</f>
        <v>0</v>
      </c>
      <c r="Z65" s="270">
        <v>0</v>
      </c>
      <c r="AA65" s="254">
        <v>0</v>
      </c>
      <c r="AB65" s="270">
        <v>0</v>
      </c>
      <c r="AC65" s="254">
        <v>0</v>
      </c>
      <c r="AD65" s="270">
        <v>0</v>
      </c>
      <c r="AE65" s="254">
        <v>0</v>
      </c>
      <c r="AF65" s="270">
        <v>0</v>
      </c>
      <c r="AG65" s="254">
        <v>0</v>
      </c>
      <c r="AH65" s="270">
        <v>0</v>
      </c>
      <c r="AI65" s="254">
        <v>0</v>
      </c>
      <c r="AJ65" s="270">
        <v>0</v>
      </c>
      <c r="AK65" s="254">
        <v>0</v>
      </c>
      <c r="AL65" s="270">
        <v>0</v>
      </c>
      <c r="AM65" s="254">
        <v>0</v>
      </c>
      <c r="AN65" s="270">
        <v>0</v>
      </c>
      <c r="AO65" s="254">
        <v>0</v>
      </c>
      <c r="AP65" s="270">
        <v>0</v>
      </c>
      <c r="AQ65" s="254">
        <v>0</v>
      </c>
      <c r="AR65" s="270">
        <v>0</v>
      </c>
      <c r="AS65" s="254">
        <v>0</v>
      </c>
      <c r="AT65" s="270">
        <v>0</v>
      </c>
      <c r="AU65" s="254">
        <v>0</v>
      </c>
      <c r="AV65" s="270">
        <v>0</v>
      </c>
      <c r="AW65" s="254">
        <v>0</v>
      </c>
      <c r="AX65" s="270" t="s">
        <v>876</v>
      </c>
      <c r="AY65" s="254">
        <v>0</v>
      </c>
      <c r="AZ65" s="259">
        <v>0</v>
      </c>
      <c r="BA65" s="254">
        <v>0</v>
      </c>
      <c r="BB65" s="270">
        <v>0</v>
      </c>
      <c r="BC65" s="254">
        <v>0</v>
      </c>
    </row>
    <row r="66" spans="1:55" s="273" customFormat="1" ht="126">
      <c r="A66" s="146" t="s">
        <v>907</v>
      </c>
      <c r="B66" s="144" t="s">
        <v>902</v>
      </c>
      <c r="C66" s="125" t="s">
        <v>876</v>
      </c>
      <c r="D66" s="271" t="s">
        <v>1009</v>
      </c>
      <c r="E66" s="254">
        <v>0</v>
      </c>
      <c r="F66" s="270" t="s">
        <v>1009</v>
      </c>
      <c r="G66" s="254">
        <v>0</v>
      </c>
      <c r="H66" s="270" t="s">
        <v>1009</v>
      </c>
      <c r="I66" s="254">
        <v>0</v>
      </c>
      <c r="J66" s="270" t="s">
        <v>1009</v>
      </c>
      <c r="K66" s="254">
        <v>0</v>
      </c>
      <c r="L66" s="270" t="s">
        <v>1009</v>
      </c>
      <c r="M66" s="254">
        <v>0</v>
      </c>
      <c r="N66" s="270" t="s">
        <v>1009</v>
      </c>
      <c r="O66" s="254">
        <v>0</v>
      </c>
      <c r="P66" s="270" t="s">
        <v>1009</v>
      </c>
      <c r="Q66" s="254">
        <v>0</v>
      </c>
      <c r="R66" s="270" t="s">
        <v>1009</v>
      </c>
      <c r="S66" s="254">
        <v>0</v>
      </c>
      <c r="T66" s="270" t="s">
        <v>1009</v>
      </c>
      <c r="U66" s="254">
        <v>0</v>
      </c>
      <c r="V66" s="270" t="s">
        <v>1009</v>
      </c>
      <c r="W66" s="254">
        <v>0</v>
      </c>
      <c r="X66" s="270" t="s">
        <v>1009</v>
      </c>
      <c r="Y66" s="254">
        <f>'13'!AR73</f>
        <v>0</v>
      </c>
      <c r="Z66" s="270" t="s">
        <v>1009</v>
      </c>
      <c r="AA66" s="254">
        <v>0</v>
      </c>
      <c r="AB66" s="270" t="s">
        <v>1009</v>
      </c>
      <c r="AC66" s="254">
        <v>0</v>
      </c>
      <c r="AD66" s="270" t="s">
        <v>1009</v>
      </c>
      <c r="AE66" s="254">
        <v>0</v>
      </c>
      <c r="AF66" s="270" t="s">
        <v>1009</v>
      </c>
      <c r="AG66" s="254">
        <v>0</v>
      </c>
      <c r="AH66" s="270" t="s">
        <v>1009</v>
      </c>
      <c r="AI66" s="254">
        <v>0</v>
      </c>
      <c r="AJ66" s="270" t="s">
        <v>1009</v>
      </c>
      <c r="AK66" s="254">
        <v>0</v>
      </c>
      <c r="AL66" s="270" t="s">
        <v>1009</v>
      </c>
      <c r="AM66" s="254">
        <v>0</v>
      </c>
      <c r="AN66" s="270" t="s">
        <v>1009</v>
      </c>
      <c r="AO66" s="254">
        <v>0</v>
      </c>
      <c r="AP66" s="270" t="s">
        <v>1009</v>
      </c>
      <c r="AQ66" s="254">
        <v>0</v>
      </c>
      <c r="AR66" s="270" t="s">
        <v>1009</v>
      </c>
      <c r="AS66" s="254">
        <v>0</v>
      </c>
      <c r="AT66" s="270" t="s">
        <v>1009</v>
      </c>
      <c r="AU66" s="254">
        <v>0</v>
      </c>
      <c r="AV66" s="270" t="s">
        <v>1009</v>
      </c>
      <c r="AW66" s="254">
        <v>0</v>
      </c>
      <c r="AX66" s="270" t="s">
        <v>876</v>
      </c>
      <c r="AY66" s="254">
        <v>0</v>
      </c>
      <c r="AZ66" s="259">
        <v>0</v>
      </c>
      <c r="BA66" s="254">
        <v>0</v>
      </c>
      <c r="BB66" s="270" t="s">
        <v>1009</v>
      </c>
      <c r="BC66" s="254">
        <v>0</v>
      </c>
    </row>
    <row r="67" spans="1:55" s="273" customFormat="1" ht="94.5">
      <c r="A67" s="146" t="s">
        <v>908</v>
      </c>
      <c r="B67" s="144" t="s">
        <v>909</v>
      </c>
      <c r="C67" s="125" t="s">
        <v>876</v>
      </c>
      <c r="D67" s="271" t="s">
        <v>1009</v>
      </c>
      <c r="E67" s="254">
        <v>0</v>
      </c>
      <c r="F67" s="270" t="s">
        <v>1009</v>
      </c>
      <c r="G67" s="254">
        <v>0</v>
      </c>
      <c r="H67" s="270" t="s">
        <v>1009</v>
      </c>
      <c r="I67" s="254">
        <v>0</v>
      </c>
      <c r="J67" s="270" t="s">
        <v>1009</v>
      </c>
      <c r="K67" s="254">
        <v>0</v>
      </c>
      <c r="L67" s="270" t="s">
        <v>1009</v>
      </c>
      <c r="M67" s="254">
        <v>0</v>
      </c>
      <c r="N67" s="270" t="s">
        <v>1009</v>
      </c>
      <c r="O67" s="254">
        <v>0</v>
      </c>
      <c r="P67" s="270" t="s">
        <v>1009</v>
      </c>
      <c r="Q67" s="254">
        <v>0</v>
      </c>
      <c r="R67" s="270" t="s">
        <v>1009</v>
      </c>
      <c r="S67" s="254">
        <v>0</v>
      </c>
      <c r="T67" s="270" t="s">
        <v>1009</v>
      </c>
      <c r="U67" s="254">
        <v>0</v>
      </c>
      <c r="V67" s="270" t="s">
        <v>1009</v>
      </c>
      <c r="W67" s="254">
        <v>0</v>
      </c>
      <c r="X67" s="270" t="s">
        <v>1009</v>
      </c>
      <c r="Y67" s="254">
        <f>'13'!AR74</f>
        <v>0</v>
      </c>
      <c r="Z67" s="270" t="s">
        <v>1009</v>
      </c>
      <c r="AA67" s="254">
        <v>0</v>
      </c>
      <c r="AB67" s="270" t="s">
        <v>1009</v>
      </c>
      <c r="AC67" s="254">
        <v>0</v>
      </c>
      <c r="AD67" s="270" t="s">
        <v>1009</v>
      </c>
      <c r="AE67" s="254">
        <v>0</v>
      </c>
      <c r="AF67" s="270" t="s">
        <v>1009</v>
      </c>
      <c r="AG67" s="254">
        <v>0</v>
      </c>
      <c r="AH67" s="270" t="s">
        <v>1009</v>
      </c>
      <c r="AI67" s="254">
        <v>0</v>
      </c>
      <c r="AJ67" s="270" t="s">
        <v>1009</v>
      </c>
      <c r="AK67" s="254">
        <v>0</v>
      </c>
      <c r="AL67" s="270" t="s">
        <v>1009</v>
      </c>
      <c r="AM67" s="254">
        <v>0</v>
      </c>
      <c r="AN67" s="270" t="s">
        <v>1009</v>
      </c>
      <c r="AO67" s="254">
        <v>0</v>
      </c>
      <c r="AP67" s="270" t="s">
        <v>1009</v>
      </c>
      <c r="AQ67" s="254">
        <v>0</v>
      </c>
      <c r="AR67" s="270" t="s">
        <v>1009</v>
      </c>
      <c r="AS67" s="254">
        <v>0</v>
      </c>
      <c r="AT67" s="270" t="s">
        <v>1009</v>
      </c>
      <c r="AU67" s="254">
        <v>0</v>
      </c>
      <c r="AV67" s="270" t="s">
        <v>1009</v>
      </c>
      <c r="AW67" s="254">
        <v>0</v>
      </c>
      <c r="AX67" s="270" t="s">
        <v>876</v>
      </c>
      <c r="AY67" s="254">
        <v>0</v>
      </c>
      <c r="AZ67" s="259">
        <f>'10'!G53</f>
        <v>0</v>
      </c>
      <c r="BA67" s="254">
        <v>0</v>
      </c>
      <c r="BB67" s="270" t="s">
        <v>1009</v>
      </c>
      <c r="BC67" s="254">
        <v>0</v>
      </c>
    </row>
    <row r="68" spans="1:55" s="273" customFormat="1" ht="47.25">
      <c r="A68" s="118" t="s">
        <v>910</v>
      </c>
      <c r="B68" s="144" t="s">
        <v>911</v>
      </c>
      <c r="C68" s="125" t="s">
        <v>876</v>
      </c>
      <c r="D68" s="255">
        <v>0</v>
      </c>
      <c r="E68" s="254">
        <v>0</v>
      </c>
      <c r="F68" s="268">
        <v>0</v>
      </c>
      <c r="G68" s="254">
        <v>0</v>
      </c>
      <c r="H68" s="268">
        <v>0</v>
      </c>
      <c r="I68" s="254">
        <v>0</v>
      </c>
      <c r="J68" s="268">
        <v>0</v>
      </c>
      <c r="K68" s="254">
        <v>0</v>
      </c>
      <c r="L68" s="268">
        <v>0</v>
      </c>
      <c r="M68" s="254">
        <v>0</v>
      </c>
      <c r="N68" s="268">
        <v>0</v>
      </c>
      <c r="O68" s="254">
        <v>0</v>
      </c>
      <c r="P68" s="268">
        <v>0</v>
      </c>
      <c r="Q68" s="254">
        <v>0</v>
      </c>
      <c r="R68" s="268">
        <v>0</v>
      </c>
      <c r="S68" s="254">
        <v>0</v>
      </c>
      <c r="T68" s="268">
        <v>0</v>
      </c>
      <c r="U68" s="254">
        <v>0</v>
      </c>
      <c r="V68" s="268">
        <v>0</v>
      </c>
      <c r="W68" s="254">
        <v>0</v>
      </c>
      <c r="X68" s="268">
        <v>10.615</v>
      </c>
      <c r="Y68" s="254">
        <f>'13'!AR75</f>
        <v>2.7749999999999999</v>
      </c>
      <c r="Z68" s="268">
        <v>0</v>
      </c>
      <c r="AA68" s="254">
        <v>0</v>
      </c>
      <c r="AB68" s="268">
        <v>0</v>
      </c>
      <c r="AC68" s="254">
        <v>0</v>
      </c>
      <c r="AD68" s="268">
        <v>0</v>
      </c>
      <c r="AE68" s="254">
        <v>0</v>
      </c>
      <c r="AF68" s="268">
        <v>0</v>
      </c>
      <c r="AG68" s="254">
        <v>0</v>
      </c>
      <c r="AH68" s="268">
        <v>0</v>
      </c>
      <c r="AI68" s="254">
        <v>0</v>
      </c>
      <c r="AJ68" s="268">
        <v>0</v>
      </c>
      <c r="AK68" s="254">
        <v>0</v>
      </c>
      <c r="AL68" s="268">
        <v>0</v>
      </c>
      <c r="AM68" s="254">
        <v>0</v>
      </c>
      <c r="AN68" s="268">
        <v>0</v>
      </c>
      <c r="AO68" s="254">
        <v>0</v>
      </c>
      <c r="AP68" s="268">
        <v>0</v>
      </c>
      <c r="AQ68" s="254">
        <v>0</v>
      </c>
      <c r="AR68" s="268">
        <v>0</v>
      </c>
      <c r="AS68" s="254">
        <v>0</v>
      </c>
      <c r="AT68" s="268">
        <v>0</v>
      </c>
      <c r="AU68" s="254">
        <v>0</v>
      </c>
      <c r="AV68" s="268">
        <v>0</v>
      </c>
      <c r="AW68" s="254">
        <v>0</v>
      </c>
      <c r="AX68" s="268" t="s">
        <v>876</v>
      </c>
      <c r="AY68" s="254">
        <v>0</v>
      </c>
      <c r="AZ68" s="259">
        <f>'10'!G54</f>
        <v>11.766400600001797</v>
      </c>
      <c r="BA68" s="254">
        <f>'10'!H54</f>
        <v>5.6513455100000005</v>
      </c>
      <c r="BB68" s="268">
        <v>0</v>
      </c>
      <c r="BC68" s="254">
        <v>0</v>
      </c>
    </row>
    <row r="69" spans="1:55" s="273" customFormat="1" ht="78.75">
      <c r="A69" s="118" t="s">
        <v>840</v>
      </c>
      <c r="B69" s="144" t="s">
        <v>912</v>
      </c>
      <c r="C69" s="125" t="s">
        <v>876</v>
      </c>
      <c r="D69" s="255">
        <v>0</v>
      </c>
      <c r="E69" s="254">
        <v>0</v>
      </c>
      <c r="F69" s="268">
        <v>0</v>
      </c>
      <c r="G69" s="254">
        <v>0</v>
      </c>
      <c r="H69" s="268">
        <v>0</v>
      </c>
      <c r="I69" s="254">
        <v>0</v>
      </c>
      <c r="J69" s="268">
        <v>0</v>
      </c>
      <c r="K69" s="254">
        <v>0</v>
      </c>
      <c r="L69" s="268">
        <v>0</v>
      </c>
      <c r="M69" s="254">
        <v>0</v>
      </c>
      <c r="N69" s="268">
        <v>0</v>
      </c>
      <c r="O69" s="254">
        <v>0</v>
      </c>
      <c r="P69" s="268">
        <v>0</v>
      </c>
      <c r="Q69" s="254">
        <v>0</v>
      </c>
      <c r="R69" s="268">
        <v>0</v>
      </c>
      <c r="S69" s="254">
        <v>0</v>
      </c>
      <c r="T69" s="268">
        <v>0</v>
      </c>
      <c r="U69" s="254">
        <v>0</v>
      </c>
      <c r="V69" s="268">
        <v>0</v>
      </c>
      <c r="W69" s="254">
        <v>0</v>
      </c>
      <c r="X69" s="268">
        <v>0</v>
      </c>
      <c r="Y69" s="254">
        <f>'13'!AR76</f>
        <v>0</v>
      </c>
      <c r="Z69" s="268">
        <v>0</v>
      </c>
      <c r="AA69" s="254">
        <v>0</v>
      </c>
      <c r="AB69" s="268">
        <v>0</v>
      </c>
      <c r="AC69" s="254">
        <v>0</v>
      </c>
      <c r="AD69" s="268">
        <v>0</v>
      </c>
      <c r="AE69" s="254">
        <v>0</v>
      </c>
      <c r="AF69" s="268">
        <v>0</v>
      </c>
      <c r="AG69" s="254">
        <v>0</v>
      </c>
      <c r="AH69" s="268">
        <v>0</v>
      </c>
      <c r="AI69" s="254">
        <v>0</v>
      </c>
      <c r="AJ69" s="268">
        <v>0</v>
      </c>
      <c r="AK69" s="254">
        <v>0</v>
      </c>
      <c r="AL69" s="268">
        <v>0</v>
      </c>
      <c r="AM69" s="254">
        <v>0</v>
      </c>
      <c r="AN69" s="268">
        <v>0</v>
      </c>
      <c r="AO69" s="254">
        <v>0</v>
      </c>
      <c r="AP69" s="268">
        <v>0</v>
      </c>
      <c r="AQ69" s="254">
        <v>0</v>
      </c>
      <c r="AR69" s="268">
        <v>0</v>
      </c>
      <c r="AS69" s="254">
        <v>0</v>
      </c>
      <c r="AT69" s="268">
        <v>0</v>
      </c>
      <c r="AU69" s="254">
        <v>0</v>
      </c>
      <c r="AV69" s="268">
        <v>0</v>
      </c>
      <c r="AW69" s="254">
        <v>0</v>
      </c>
      <c r="AX69" s="268" t="s">
        <v>876</v>
      </c>
      <c r="AY69" s="254">
        <v>0</v>
      </c>
      <c r="AZ69" s="259">
        <f>'10'!G55</f>
        <v>3.0182650299999998</v>
      </c>
      <c r="BA69" s="254">
        <f>'10'!H55</f>
        <v>3.0182650300000002</v>
      </c>
      <c r="BB69" s="268">
        <v>0</v>
      </c>
      <c r="BC69" s="254">
        <v>0</v>
      </c>
    </row>
    <row r="70" spans="1:55" s="273" customFormat="1" ht="47.25">
      <c r="A70" s="118" t="s">
        <v>421</v>
      </c>
      <c r="B70" s="144" t="s">
        <v>913</v>
      </c>
      <c r="C70" s="138" t="s">
        <v>876</v>
      </c>
      <c r="D70" s="255">
        <v>0</v>
      </c>
      <c r="E70" s="254">
        <v>0</v>
      </c>
      <c r="F70" s="268">
        <v>0</v>
      </c>
      <c r="G70" s="254">
        <v>0</v>
      </c>
      <c r="H70" s="268">
        <v>0</v>
      </c>
      <c r="I70" s="254">
        <v>0</v>
      </c>
      <c r="J70" s="268">
        <v>0</v>
      </c>
      <c r="K70" s="254">
        <v>0</v>
      </c>
      <c r="L70" s="268">
        <v>0</v>
      </c>
      <c r="M70" s="254">
        <v>0</v>
      </c>
      <c r="N70" s="268">
        <v>0</v>
      </c>
      <c r="O70" s="254">
        <v>0</v>
      </c>
      <c r="P70" s="268">
        <v>0</v>
      </c>
      <c r="Q70" s="254">
        <v>0</v>
      </c>
      <c r="R70" s="268">
        <v>0</v>
      </c>
      <c r="S70" s="254">
        <v>0</v>
      </c>
      <c r="T70" s="268">
        <v>0</v>
      </c>
      <c r="U70" s="254">
        <v>0</v>
      </c>
      <c r="V70" s="268">
        <v>0</v>
      </c>
      <c r="W70" s="254">
        <v>0</v>
      </c>
      <c r="X70" s="268">
        <v>0</v>
      </c>
      <c r="Y70" s="254">
        <f>'13'!AR77</f>
        <v>0</v>
      </c>
      <c r="Z70" s="268">
        <v>0</v>
      </c>
      <c r="AA70" s="254">
        <v>0</v>
      </c>
      <c r="AB70" s="268">
        <v>0</v>
      </c>
      <c r="AC70" s="254">
        <v>0</v>
      </c>
      <c r="AD70" s="268">
        <v>0</v>
      </c>
      <c r="AE70" s="254">
        <v>0</v>
      </c>
      <c r="AF70" s="268">
        <v>0</v>
      </c>
      <c r="AG70" s="254">
        <v>0</v>
      </c>
      <c r="AH70" s="268">
        <v>0</v>
      </c>
      <c r="AI70" s="254">
        <v>0</v>
      </c>
      <c r="AJ70" s="268">
        <v>0</v>
      </c>
      <c r="AK70" s="254">
        <v>0</v>
      </c>
      <c r="AL70" s="268">
        <v>0</v>
      </c>
      <c r="AM70" s="254">
        <v>0</v>
      </c>
      <c r="AN70" s="268">
        <v>0</v>
      </c>
      <c r="AO70" s="254">
        <v>0</v>
      </c>
      <c r="AP70" s="268">
        <v>0</v>
      </c>
      <c r="AQ70" s="254">
        <v>0</v>
      </c>
      <c r="AR70" s="268">
        <v>0</v>
      </c>
      <c r="AS70" s="254">
        <v>0</v>
      </c>
      <c r="AT70" s="268">
        <v>0</v>
      </c>
      <c r="AU70" s="254">
        <v>0</v>
      </c>
      <c r="AV70" s="268">
        <v>0</v>
      </c>
      <c r="AW70" s="254">
        <v>0</v>
      </c>
      <c r="AX70" s="268" t="s">
        <v>876</v>
      </c>
      <c r="AY70" s="254">
        <v>0</v>
      </c>
      <c r="AZ70" s="259">
        <f>'10'!G56</f>
        <v>3.0182650299999998</v>
      </c>
      <c r="BA70" s="254">
        <f>'10'!H56</f>
        <v>3.0182650300000002</v>
      </c>
      <c r="BB70" s="268">
        <v>0</v>
      </c>
      <c r="BC70" s="254">
        <v>0</v>
      </c>
    </row>
    <row r="71" spans="1:55" s="273" customFormat="1">
      <c r="A71" s="137" t="s">
        <v>423</v>
      </c>
      <c r="B71" s="129" t="s">
        <v>1070</v>
      </c>
      <c r="C71" s="133" t="s">
        <v>1086</v>
      </c>
      <c r="D71" s="255"/>
      <c r="E71" s="254">
        <v>0</v>
      </c>
      <c r="F71" s="268">
        <v>0</v>
      </c>
      <c r="G71" s="254">
        <v>0</v>
      </c>
      <c r="H71" s="268">
        <v>0</v>
      </c>
      <c r="I71" s="254">
        <v>0</v>
      </c>
      <c r="J71" s="268">
        <v>0</v>
      </c>
      <c r="K71" s="254">
        <v>0</v>
      </c>
      <c r="L71" s="268">
        <v>0</v>
      </c>
      <c r="M71" s="254">
        <v>0</v>
      </c>
      <c r="N71" s="268">
        <v>0</v>
      </c>
      <c r="O71" s="254">
        <v>0</v>
      </c>
      <c r="P71" s="268">
        <v>0</v>
      </c>
      <c r="Q71" s="254">
        <v>0</v>
      </c>
      <c r="R71" s="268">
        <v>0</v>
      </c>
      <c r="S71" s="254">
        <v>0</v>
      </c>
      <c r="T71" s="268">
        <v>0</v>
      </c>
      <c r="U71" s="254">
        <v>0</v>
      </c>
      <c r="V71" s="268">
        <v>0</v>
      </c>
      <c r="W71" s="254">
        <v>0</v>
      </c>
      <c r="X71" s="268">
        <v>0</v>
      </c>
      <c r="Y71" s="254">
        <f>'13'!AR78</f>
        <v>0</v>
      </c>
      <c r="Z71" s="268">
        <v>0</v>
      </c>
      <c r="AA71" s="254">
        <v>0</v>
      </c>
      <c r="AB71" s="268">
        <v>0</v>
      </c>
      <c r="AC71" s="254">
        <v>0</v>
      </c>
      <c r="AD71" s="268">
        <v>0</v>
      </c>
      <c r="AE71" s="254">
        <v>0</v>
      </c>
      <c r="AF71" s="268">
        <v>0</v>
      </c>
      <c r="AG71" s="254">
        <v>0</v>
      </c>
      <c r="AH71" s="268">
        <v>0</v>
      </c>
      <c r="AI71" s="254">
        <v>0</v>
      </c>
      <c r="AJ71" s="268">
        <v>0</v>
      </c>
      <c r="AK71" s="254">
        <v>0</v>
      </c>
      <c r="AL71" s="268">
        <v>0</v>
      </c>
      <c r="AM71" s="254">
        <v>0</v>
      </c>
      <c r="AN71" s="268">
        <v>0</v>
      </c>
      <c r="AO71" s="254">
        <v>0</v>
      </c>
      <c r="AP71" s="268">
        <v>0</v>
      </c>
      <c r="AQ71" s="254">
        <v>0</v>
      </c>
      <c r="AR71" s="268">
        <v>0</v>
      </c>
      <c r="AS71" s="254">
        <v>0</v>
      </c>
      <c r="AT71" s="268">
        <v>0</v>
      </c>
      <c r="AU71" s="254">
        <v>0</v>
      </c>
      <c r="AV71" s="268">
        <v>0</v>
      </c>
      <c r="AW71" s="254">
        <v>0</v>
      </c>
      <c r="AX71" s="268">
        <v>0</v>
      </c>
      <c r="AY71" s="254">
        <v>0</v>
      </c>
      <c r="AZ71" s="259">
        <f>'10'!G57</f>
        <v>2.4162653999999999</v>
      </c>
      <c r="BA71" s="254">
        <f>'10'!H57</f>
        <v>2.4162654000000003</v>
      </c>
      <c r="BB71" s="268">
        <v>0</v>
      </c>
      <c r="BC71" s="254">
        <v>0</v>
      </c>
    </row>
    <row r="72" spans="1:55" s="273" customFormat="1">
      <c r="A72" s="137" t="s">
        <v>424</v>
      </c>
      <c r="B72" s="129" t="s">
        <v>1071</v>
      </c>
      <c r="C72" s="133" t="s">
        <v>1090</v>
      </c>
      <c r="D72" s="255"/>
      <c r="E72" s="254">
        <v>0</v>
      </c>
      <c r="F72" s="268">
        <v>0</v>
      </c>
      <c r="G72" s="254">
        <v>0</v>
      </c>
      <c r="H72" s="268">
        <v>0</v>
      </c>
      <c r="I72" s="254">
        <v>0</v>
      </c>
      <c r="J72" s="268">
        <v>0</v>
      </c>
      <c r="K72" s="254">
        <v>0</v>
      </c>
      <c r="L72" s="268">
        <v>0</v>
      </c>
      <c r="M72" s="254">
        <v>0</v>
      </c>
      <c r="N72" s="268">
        <v>0</v>
      </c>
      <c r="O72" s="254">
        <v>0</v>
      </c>
      <c r="P72" s="268">
        <v>0</v>
      </c>
      <c r="Q72" s="254">
        <v>0</v>
      </c>
      <c r="R72" s="268">
        <v>0</v>
      </c>
      <c r="S72" s="254">
        <v>0</v>
      </c>
      <c r="T72" s="268">
        <v>0</v>
      </c>
      <c r="U72" s="254">
        <v>0</v>
      </c>
      <c r="V72" s="268">
        <v>0</v>
      </c>
      <c r="W72" s="254">
        <v>0</v>
      </c>
      <c r="X72" s="268">
        <v>0</v>
      </c>
      <c r="Y72" s="254">
        <f>'13'!AR79</f>
        <v>0</v>
      </c>
      <c r="Z72" s="268">
        <v>0</v>
      </c>
      <c r="AA72" s="254">
        <v>0</v>
      </c>
      <c r="AB72" s="268">
        <v>0</v>
      </c>
      <c r="AC72" s="254">
        <v>0</v>
      </c>
      <c r="AD72" s="268">
        <v>0</v>
      </c>
      <c r="AE72" s="254">
        <v>0</v>
      </c>
      <c r="AF72" s="268">
        <v>0</v>
      </c>
      <c r="AG72" s="254">
        <v>0</v>
      </c>
      <c r="AH72" s="268">
        <v>0</v>
      </c>
      <c r="AI72" s="254">
        <v>0</v>
      </c>
      <c r="AJ72" s="268">
        <v>0</v>
      </c>
      <c r="AK72" s="254">
        <v>0</v>
      </c>
      <c r="AL72" s="268">
        <v>0</v>
      </c>
      <c r="AM72" s="254">
        <v>0</v>
      </c>
      <c r="AN72" s="268">
        <v>0</v>
      </c>
      <c r="AO72" s="254">
        <v>0</v>
      </c>
      <c r="AP72" s="268">
        <v>0</v>
      </c>
      <c r="AQ72" s="254">
        <v>0</v>
      </c>
      <c r="AR72" s="268">
        <v>0</v>
      </c>
      <c r="AS72" s="254">
        <v>0</v>
      </c>
      <c r="AT72" s="268">
        <v>0</v>
      </c>
      <c r="AU72" s="254">
        <v>0</v>
      </c>
      <c r="AV72" s="268">
        <v>0</v>
      </c>
      <c r="AW72" s="254">
        <v>0</v>
      </c>
      <c r="AX72" s="268">
        <v>0</v>
      </c>
      <c r="AY72" s="254">
        <v>0</v>
      </c>
      <c r="AZ72" s="259">
        <f>'10'!G58</f>
        <v>0.60199963000000001</v>
      </c>
      <c r="BA72" s="254">
        <f>'10'!H58</f>
        <v>0.60199963000000001</v>
      </c>
      <c r="BB72" s="268">
        <v>0</v>
      </c>
      <c r="BC72" s="254">
        <v>0</v>
      </c>
    </row>
    <row r="73" spans="1:55" s="273" customFormat="1" ht="78.75">
      <c r="A73" s="118" t="s">
        <v>426</v>
      </c>
      <c r="B73" s="144" t="s">
        <v>914</v>
      </c>
      <c r="C73" s="125" t="s">
        <v>876</v>
      </c>
      <c r="D73" s="255">
        <v>0</v>
      </c>
      <c r="E73" s="254">
        <v>0</v>
      </c>
      <c r="F73" s="268">
        <v>0</v>
      </c>
      <c r="G73" s="254">
        <v>0</v>
      </c>
      <c r="H73" s="268">
        <v>0</v>
      </c>
      <c r="I73" s="254">
        <v>0</v>
      </c>
      <c r="J73" s="268">
        <v>0</v>
      </c>
      <c r="K73" s="254">
        <v>0</v>
      </c>
      <c r="L73" s="268">
        <v>0</v>
      </c>
      <c r="M73" s="254">
        <v>0</v>
      </c>
      <c r="N73" s="268">
        <v>0</v>
      </c>
      <c r="O73" s="254">
        <v>0</v>
      </c>
      <c r="P73" s="268">
        <v>0</v>
      </c>
      <c r="Q73" s="254">
        <v>0</v>
      </c>
      <c r="R73" s="268">
        <v>0</v>
      </c>
      <c r="S73" s="254">
        <v>0</v>
      </c>
      <c r="T73" s="268">
        <v>0</v>
      </c>
      <c r="U73" s="254">
        <v>0</v>
      </c>
      <c r="V73" s="268">
        <v>0</v>
      </c>
      <c r="W73" s="254">
        <v>0</v>
      </c>
      <c r="X73" s="268">
        <v>0</v>
      </c>
      <c r="Y73" s="254">
        <f>'13'!AR80</f>
        <v>0</v>
      </c>
      <c r="Z73" s="268">
        <v>0</v>
      </c>
      <c r="AA73" s="254">
        <v>0</v>
      </c>
      <c r="AB73" s="268">
        <v>0</v>
      </c>
      <c r="AC73" s="254">
        <v>0</v>
      </c>
      <c r="AD73" s="268">
        <v>0</v>
      </c>
      <c r="AE73" s="254">
        <v>0</v>
      </c>
      <c r="AF73" s="268">
        <v>0</v>
      </c>
      <c r="AG73" s="254">
        <v>0</v>
      </c>
      <c r="AH73" s="268">
        <v>0</v>
      </c>
      <c r="AI73" s="254">
        <v>0</v>
      </c>
      <c r="AJ73" s="268">
        <v>0</v>
      </c>
      <c r="AK73" s="254">
        <v>0</v>
      </c>
      <c r="AL73" s="268">
        <v>0</v>
      </c>
      <c r="AM73" s="254">
        <v>0</v>
      </c>
      <c r="AN73" s="268">
        <v>0</v>
      </c>
      <c r="AO73" s="254">
        <v>0</v>
      </c>
      <c r="AP73" s="268">
        <v>0</v>
      </c>
      <c r="AQ73" s="254">
        <v>0</v>
      </c>
      <c r="AR73" s="268">
        <v>0</v>
      </c>
      <c r="AS73" s="254">
        <v>0</v>
      </c>
      <c r="AT73" s="268">
        <v>0</v>
      </c>
      <c r="AU73" s="254">
        <v>0</v>
      </c>
      <c r="AV73" s="268">
        <v>0</v>
      </c>
      <c r="AW73" s="254">
        <v>0</v>
      </c>
      <c r="AX73" s="268" t="s">
        <v>876</v>
      </c>
      <c r="AY73" s="254">
        <v>0</v>
      </c>
      <c r="AZ73" s="259">
        <f>'10'!G70</f>
        <v>0</v>
      </c>
      <c r="BA73" s="254">
        <f>BA74</f>
        <v>2.6330804800000003</v>
      </c>
      <c r="BB73" s="268">
        <v>0</v>
      </c>
      <c r="BC73" s="254">
        <v>0</v>
      </c>
    </row>
    <row r="74" spans="1:55" s="273" customFormat="1" ht="47.25">
      <c r="A74" s="118" t="s">
        <v>841</v>
      </c>
      <c r="B74" s="144" t="s">
        <v>915</v>
      </c>
      <c r="C74" s="125" t="s">
        <v>876</v>
      </c>
      <c r="D74" s="255">
        <v>0</v>
      </c>
      <c r="E74" s="254">
        <v>0</v>
      </c>
      <c r="F74" s="268">
        <v>0</v>
      </c>
      <c r="G74" s="254">
        <v>0</v>
      </c>
      <c r="H74" s="268">
        <v>0</v>
      </c>
      <c r="I74" s="254">
        <v>0</v>
      </c>
      <c r="J74" s="268">
        <v>0</v>
      </c>
      <c r="K74" s="254">
        <v>0</v>
      </c>
      <c r="L74" s="268">
        <v>0</v>
      </c>
      <c r="M74" s="254">
        <v>0</v>
      </c>
      <c r="N74" s="268">
        <v>0</v>
      </c>
      <c r="O74" s="254">
        <v>0</v>
      </c>
      <c r="P74" s="268">
        <v>0</v>
      </c>
      <c r="Q74" s="254">
        <v>0</v>
      </c>
      <c r="R74" s="268">
        <v>0</v>
      </c>
      <c r="S74" s="254">
        <v>0</v>
      </c>
      <c r="T74" s="268">
        <v>0</v>
      </c>
      <c r="U74" s="254">
        <v>0</v>
      </c>
      <c r="V74" s="268">
        <v>0</v>
      </c>
      <c r="W74" s="254">
        <v>0</v>
      </c>
      <c r="X74" s="268">
        <v>10.615</v>
      </c>
      <c r="Y74" s="254">
        <f>'13'!AR81</f>
        <v>2.7749999999999999</v>
      </c>
      <c r="Z74" s="268">
        <v>0</v>
      </c>
      <c r="AA74" s="254">
        <v>0</v>
      </c>
      <c r="AB74" s="268">
        <v>0</v>
      </c>
      <c r="AC74" s="254">
        <v>0</v>
      </c>
      <c r="AD74" s="268">
        <v>0</v>
      </c>
      <c r="AE74" s="254">
        <v>0</v>
      </c>
      <c r="AF74" s="268">
        <v>0</v>
      </c>
      <c r="AG74" s="254">
        <v>0</v>
      </c>
      <c r="AH74" s="268">
        <v>0</v>
      </c>
      <c r="AI74" s="254">
        <v>0</v>
      </c>
      <c r="AJ74" s="268">
        <v>0</v>
      </c>
      <c r="AK74" s="254">
        <v>0</v>
      </c>
      <c r="AL74" s="268">
        <v>0</v>
      </c>
      <c r="AM74" s="254">
        <v>0</v>
      </c>
      <c r="AN74" s="268">
        <v>0</v>
      </c>
      <c r="AO74" s="254">
        <v>0</v>
      </c>
      <c r="AP74" s="268">
        <v>0</v>
      </c>
      <c r="AQ74" s="254">
        <v>0</v>
      </c>
      <c r="AR74" s="268">
        <v>0</v>
      </c>
      <c r="AS74" s="254">
        <v>0</v>
      </c>
      <c r="AT74" s="268">
        <v>0</v>
      </c>
      <c r="AU74" s="254">
        <v>0</v>
      </c>
      <c r="AV74" s="268">
        <v>0</v>
      </c>
      <c r="AW74" s="254">
        <v>0</v>
      </c>
      <c r="AX74" s="268" t="s">
        <v>876</v>
      </c>
      <c r="AY74" s="254">
        <v>0</v>
      </c>
      <c r="AZ74" s="259">
        <f>'10'!G59</f>
        <v>8.7481355700017964</v>
      </c>
      <c r="BA74" s="254">
        <f>'10'!H59</f>
        <v>2.6330804800000003</v>
      </c>
      <c r="BB74" s="268">
        <v>0</v>
      </c>
      <c r="BC74" s="254">
        <v>0</v>
      </c>
    </row>
    <row r="75" spans="1:55" s="273" customFormat="1" ht="31.5">
      <c r="A75" s="118" t="s">
        <v>916</v>
      </c>
      <c r="B75" s="144" t="s">
        <v>917</v>
      </c>
      <c r="C75" s="138" t="s">
        <v>876</v>
      </c>
      <c r="D75" s="255">
        <v>0</v>
      </c>
      <c r="E75" s="254">
        <v>0</v>
      </c>
      <c r="F75" s="268">
        <v>0</v>
      </c>
      <c r="G75" s="254">
        <v>0</v>
      </c>
      <c r="H75" s="268">
        <v>0</v>
      </c>
      <c r="I75" s="254">
        <v>0</v>
      </c>
      <c r="J75" s="268">
        <v>0</v>
      </c>
      <c r="K75" s="254">
        <v>0</v>
      </c>
      <c r="L75" s="268">
        <v>0</v>
      </c>
      <c r="M75" s="254">
        <v>0</v>
      </c>
      <c r="N75" s="268">
        <v>0</v>
      </c>
      <c r="O75" s="254">
        <v>0</v>
      </c>
      <c r="P75" s="268">
        <v>0</v>
      </c>
      <c r="Q75" s="254">
        <v>0</v>
      </c>
      <c r="R75" s="268">
        <v>0</v>
      </c>
      <c r="S75" s="254">
        <v>0</v>
      </c>
      <c r="T75" s="268">
        <v>0</v>
      </c>
      <c r="U75" s="254">
        <v>0</v>
      </c>
      <c r="V75" s="268">
        <v>0</v>
      </c>
      <c r="W75" s="254">
        <v>0</v>
      </c>
      <c r="X75" s="268">
        <v>10.615</v>
      </c>
      <c r="Y75" s="254">
        <f>'13'!AR82</f>
        <v>2.7749999999999999</v>
      </c>
      <c r="Z75" s="268">
        <v>0</v>
      </c>
      <c r="AA75" s="254">
        <v>0</v>
      </c>
      <c r="AB75" s="268">
        <v>0</v>
      </c>
      <c r="AC75" s="254">
        <v>0</v>
      </c>
      <c r="AD75" s="268">
        <v>0</v>
      </c>
      <c r="AE75" s="254">
        <v>0</v>
      </c>
      <c r="AF75" s="268">
        <v>0</v>
      </c>
      <c r="AG75" s="254">
        <v>0</v>
      </c>
      <c r="AH75" s="268">
        <v>0</v>
      </c>
      <c r="AI75" s="254">
        <v>0</v>
      </c>
      <c r="AJ75" s="268">
        <v>0</v>
      </c>
      <c r="AK75" s="254">
        <v>0</v>
      </c>
      <c r="AL75" s="268">
        <v>0</v>
      </c>
      <c r="AM75" s="254">
        <v>0</v>
      </c>
      <c r="AN75" s="268">
        <v>0</v>
      </c>
      <c r="AO75" s="254">
        <v>0</v>
      </c>
      <c r="AP75" s="268">
        <v>0</v>
      </c>
      <c r="AQ75" s="254">
        <v>0</v>
      </c>
      <c r="AR75" s="268">
        <v>0</v>
      </c>
      <c r="AS75" s="254">
        <v>0</v>
      </c>
      <c r="AT75" s="268">
        <v>0</v>
      </c>
      <c r="AU75" s="254">
        <v>0</v>
      </c>
      <c r="AV75" s="268">
        <v>0</v>
      </c>
      <c r="AW75" s="254">
        <v>0</v>
      </c>
      <c r="AX75" s="268" t="s">
        <v>876</v>
      </c>
      <c r="AY75" s="254">
        <v>0</v>
      </c>
      <c r="AZ75" s="259">
        <f>'10'!G60</f>
        <v>8.7481355700017964</v>
      </c>
      <c r="BA75" s="254">
        <f>'10'!H60</f>
        <v>2.6330804800000003</v>
      </c>
      <c r="BB75" s="268">
        <v>0</v>
      </c>
      <c r="BC75" s="254">
        <v>0</v>
      </c>
    </row>
    <row r="76" spans="1:55" s="273" customFormat="1" ht="94.5">
      <c r="A76" s="137" t="s">
        <v>916</v>
      </c>
      <c r="B76" s="131" t="s">
        <v>918</v>
      </c>
      <c r="C76" s="119" t="s">
        <v>919</v>
      </c>
      <c r="D76" s="255">
        <v>0</v>
      </c>
      <c r="E76" s="254">
        <v>0</v>
      </c>
      <c r="F76" s="268">
        <v>0</v>
      </c>
      <c r="G76" s="254">
        <v>0</v>
      </c>
      <c r="H76" s="268">
        <v>0</v>
      </c>
      <c r="I76" s="254">
        <v>0</v>
      </c>
      <c r="J76" s="268">
        <v>0</v>
      </c>
      <c r="K76" s="254">
        <v>0</v>
      </c>
      <c r="L76" s="268">
        <v>0</v>
      </c>
      <c r="M76" s="254">
        <v>0</v>
      </c>
      <c r="N76" s="268">
        <v>0</v>
      </c>
      <c r="O76" s="254">
        <v>0</v>
      </c>
      <c r="P76" s="268">
        <v>0</v>
      </c>
      <c r="Q76" s="254">
        <v>0</v>
      </c>
      <c r="R76" s="268">
        <v>0</v>
      </c>
      <c r="S76" s="254">
        <v>0</v>
      </c>
      <c r="T76" s="268">
        <v>0</v>
      </c>
      <c r="U76" s="254">
        <v>0</v>
      </c>
      <c r="V76" s="268">
        <v>0</v>
      </c>
      <c r="W76" s="254">
        <v>0</v>
      </c>
      <c r="X76" s="145">
        <v>3.64</v>
      </c>
      <c r="Y76" s="254">
        <f>'13'!AR84</f>
        <v>0</v>
      </c>
      <c r="Z76" s="268">
        <v>0</v>
      </c>
      <c r="AA76" s="254">
        <v>0</v>
      </c>
      <c r="AB76" s="268">
        <v>0</v>
      </c>
      <c r="AC76" s="254">
        <v>0</v>
      </c>
      <c r="AD76" s="268">
        <v>0</v>
      </c>
      <c r="AE76" s="254">
        <v>0</v>
      </c>
      <c r="AF76" s="268">
        <v>0</v>
      </c>
      <c r="AG76" s="254">
        <v>0</v>
      </c>
      <c r="AH76" s="268">
        <v>0</v>
      </c>
      <c r="AI76" s="254">
        <v>0</v>
      </c>
      <c r="AJ76" s="268">
        <v>0</v>
      </c>
      <c r="AK76" s="254">
        <v>0</v>
      </c>
      <c r="AL76" s="268">
        <v>0</v>
      </c>
      <c r="AM76" s="254">
        <v>0</v>
      </c>
      <c r="AN76" s="268">
        <v>0</v>
      </c>
      <c r="AO76" s="254">
        <v>0</v>
      </c>
      <c r="AP76" s="268">
        <v>0</v>
      </c>
      <c r="AQ76" s="254">
        <v>0</v>
      </c>
      <c r="AR76" s="268">
        <v>0</v>
      </c>
      <c r="AS76" s="254">
        <v>0</v>
      </c>
      <c r="AT76" s="268">
        <v>0</v>
      </c>
      <c r="AU76" s="254">
        <v>0</v>
      </c>
      <c r="AV76" s="268">
        <v>0</v>
      </c>
      <c r="AW76" s="254">
        <v>0</v>
      </c>
      <c r="AX76" s="268" t="s">
        <v>876</v>
      </c>
      <c r="AY76" s="254">
        <v>0</v>
      </c>
      <c r="AZ76" s="259">
        <f>'10'!G61</f>
        <v>0.61028050764625996</v>
      </c>
      <c r="BA76" s="254">
        <f>'10'!H62</f>
        <v>0.25</v>
      </c>
      <c r="BB76" s="268">
        <v>0</v>
      </c>
      <c r="BC76" s="254">
        <v>0</v>
      </c>
    </row>
    <row r="77" spans="1:55" s="273" customFormat="1" ht="63">
      <c r="A77" s="137" t="s">
        <v>916</v>
      </c>
      <c r="B77" s="131" t="s">
        <v>922</v>
      </c>
      <c r="C77" s="119" t="s">
        <v>923</v>
      </c>
      <c r="D77" s="255">
        <v>0</v>
      </c>
      <c r="E77" s="254">
        <v>0</v>
      </c>
      <c r="F77" s="268">
        <v>0</v>
      </c>
      <c r="G77" s="254">
        <v>0</v>
      </c>
      <c r="H77" s="268">
        <v>0</v>
      </c>
      <c r="I77" s="254">
        <v>0</v>
      </c>
      <c r="J77" s="268">
        <v>0</v>
      </c>
      <c r="K77" s="254">
        <v>0</v>
      </c>
      <c r="L77" s="268">
        <v>0</v>
      </c>
      <c r="M77" s="254">
        <v>0</v>
      </c>
      <c r="N77" s="268">
        <v>0</v>
      </c>
      <c r="O77" s="254">
        <v>0</v>
      </c>
      <c r="P77" s="268">
        <v>0</v>
      </c>
      <c r="Q77" s="254">
        <v>0</v>
      </c>
      <c r="R77" s="268">
        <v>0</v>
      </c>
      <c r="S77" s="254">
        <v>0</v>
      </c>
      <c r="T77" s="268">
        <v>0</v>
      </c>
      <c r="U77" s="254">
        <v>0</v>
      </c>
      <c r="V77" s="268">
        <v>0</v>
      </c>
      <c r="W77" s="254">
        <v>0</v>
      </c>
      <c r="X77" s="145">
        <v>1</v>
      </c>
      <c r="Y77" s="254">
        <f>'13'!AR85</f>
        <v>1</v>
      </c>
      <c r="Z77" s="268">
        <v>0</v>
      </c>
      <c r="AA77" s="254">
        <v>0</v>
      </c>
      <c r="AB77" s="268">
        <v>0</v>
      </c>
      <c r="AC77" s="254">
        <v>0</v>
      </c>
      <c r="AD77" s="268">
        <v>0</v>
      </c>
      <c r="AE77" s="254">
        <v>0</v>
      </c>
      <c r="AF77" s="268">
        <v>0</v>
      </c>
      <c r="AG77" s="254">
        <v>0</v>
      </c>
      <c r="AH77" s="268">
        <v>0</v>
      </c>
      <c r="AI77" s="254">
        <v>0</v>
      </c>
      <c r="AJ77" s="268">
        <v>0</v>
      </c>
      <c r="AK77" s="254">
        <v>0</v>
      </c>
      <c r="AL77" s="268">
        <v>0</v>
      </c>
      <c r="AM77" s="254">
        <v>0</v>
      </c>
      <c r="AN77" s="268">
        <v>0</v>
      </c>
      <c r="AO77" s="254">
        <v>0</v>
      </c>
      <c r="AP77" s="268">
        <v>0</v>
      </c>
      <c r="AQ77" s="254">
        <v>0</v>
      </c>
      <c r="AR77" s="268">
        <v>0</v>
      </c>
      <c r="AS77" s="254">
        <v>0</v>
      </c>
      <c r="AT77" s="268">
        <v>0</v>
      </c>
      <c r="AU77" s="254">
        <v>0</v>
      </c>
      <c r="AV77" s="268">
        <v>0</v>
      </c>
      <c r="AW77" s="254">
        <v>0</v>
      </c>
      <c r="AX77" s="268" t="s">
        <v>876</v>
      </c>
      <c r="AY77" s="254">
        <v>0</v>
      </c>
      <c r="AZ77" s="259">
        <f>'10'!G62</f>
        <v>0.48621249235553665</v>
      </c>
      <c r="BA77" s="254">
        <f>'10'!H63</f>
        <v>0.80138018018000001</v>
      </c>
      <c r="BB77" s="268">
        <v>0</v>
      </c>
      <c r="BC77" s="254">
        <v>0</v>
      </c>
    </row>
    <row r="78" spans="1:55" s="273" customFormat="1" ht="94.5">
      <c r="A78" s="137" t="s">
        <v>916</v>
      </c>
      <c r="B78" s="131" t="s">
        <v>1089</v>
      </c>
      <c r="C78" s="119" t="s">
        <v>924</v>
      </c>
      <c r="D78" s="255">
        <v>0</v>
      </c>
      <c r="E78" s="254">
        <v>0</v>
      </c>
      <c r="F78" s="268">
        <v>0</v>
      </c>
      <c r="G78" s="254">
        <v>0</v>
      </c>
      <c r="H78" s="268">
        <v>0</v>
      </c>
      <c r="I78" s="254">
        <v>0</v>
      </c>
      <c r="J78" s="268">
        <v>0</v>
      </c>
      <c r="K78" s="254">
        <v>0</v>
      </c>
      <c r="L78" s="268">
        <v>0</v>
      </c>
      <c r="M78" s="254">
        <v>0</v>
      </c>
      <c r="N78" s="268">
        <v>0</v>
      </c>
      <c r="O78" s="254">
        <v>0</v>
      </c>
      <c r="P78" s="268">
        <v>0</v>
      </c>
      <c r="Q78" s="254">
        <v>0</v>
      </c>
      <c r="R78" s="268">
        <v>0</v>
      </c>
      <c r="S78" s="254">
        <v>0</v>
      </c>
      <c r="T78" s="268">
        <v>0</v>
      </c>
      <c r="U78" s="254">
        <v>0</v>
      </c>
      <c r="V78" s="268">
        <v>0</v>
      </c>
      <c r="W78" s="254">
        <v>0</v>
      </c>
      <c r="X78" s="145">
        <v>1.7749999999999999</v>
      </c>
      <c r="Y78" s="254">
        <f>'13'!AR86</f>
        <v>1.7749999999999999</v>
      </c>
      <c r="Z78" s="268">
        <v>0</v>
      </c>
      <c r="AA78" s="254">
        <v>0</v>
      </c>
      <c r="AB78" s="268">
        <v>0</v>
      </c>
      <c r="AC78" s="254">
        <v>0</v>
      </c>
      <c r="AD78" s="268">
        <v>0</v>
      </c>
      <c r="AE78" s="254">
        <v>0</v>
      </c>
      <c r="AF78" s="268">
        <v>0</v>
      </c>
      <c r="AG78" s="254">
        <v>0</v>
      </c>
      <c r="AH78" s="268">
        <v>0</v>
      </c>
      <c r="AI78" s="254">
        <v>0</v>
      </c>
      <c r="AJ78" s="268">
        <v>0</v>
      </c>
      <c r="AK78" s="254">
        <v>0</v>
      </c>
      <c r="AL78" s="268">
        <v>0</v>
      </c>
      <c r="AM78" s="254">
        <v>0</v>
      </c>
      <c r="AN78" s="268">
        <v>0</v>
      </c>
      <c r="AO78" s="254">
        <v>0</v>
      </c>
      <c r="AP78" s="268">
        <v>0</v>
      </c>
      <c r="AQ78" s="254">
        <v>0</v>
      </c>
      <c r="AR78" s="268">
        <v>0</v>
      </c>
      <c r="AS78" s="254">
        <v>0</v>
      </c>
      <c r="AT78" s="268">
        <v>0</v>
      </c>
      <c r="AU78" s="254">
        <v>0</v>
      </c>
      <c r="AV78" s="268">
        <v>0</v>
      </c>
      <c r="AW78" s="254">
        <v>0</v>
      </c>
      <c r="AX78" s="268" t="s">
        <v>876</v>
      </c>
      <c r="AY78" s="254">
        <v>0</v>
      </c>
      <c r="AZ78" s="259">
        <f>'10'!G63</f>
        <v>2.4927931801800001</v>
      </c>
      <c r="BA78" s="254">
        <f>'10'!H64</f>
        <v>0.88724472982000002</v>
      </c>
      <c r="BB78" s="268">
        <v>0</v>
      </c>
      <c r="BC78" s="254">
        <v>0</v>
      </c>
    </row>
    <row r="79" spans="1:55" s="273" customFormat="1" ht="47.25">
      <c r="A79" s="137" t="s">
        <v>916</v>
      </c>
      <c r="B79" s="149" t="s">
        <v>1069</v>
      </c>
      <c r="C79" s="121" t="s">
        <v>1093</v>
      </c>
      <c r="D79" s="255"/>
      <c r="E79" s="254">
        <v>0</v>
      </c>
      <c r="F79" s="268">
        <v>0</v>
      </c>
      <c r="G79" s="254">
        <v>0</v>
      </c>
      <c r="H79" s="268">
        <v>0</v>
      </c>
      <c r="I79" s="254">
        <v>0</v>
      </c>
      <c r="J79" s="268">
        <v>0</v>
      </c>
      <c r="K79" s="254">
        <v>0</v>
      </c>
      <c r="L79" s="268">
        <v>0</v>
      </c>
      <c r="M79" s="254">
        <v>0</v>
      </c>
      <c r="N79" s="268">
        <v>0</v>
      </c>
      <c r="O79" s="254">
        <v>0</v>
      </c>
      <c r="P79" s="268">
        <v>0</v>
      </c>
      <c r="Q79" s="254">
        <v>0</v>
      </c>
      <c r="R79" s="268">
        <v>0</v>
      </c>
      <c r="S79" s="254">
        <v>0</v>
      </c>
      <c r="T79" s="268">
        <v>0</v>
      </c>
      <c r="U79" s="254">
        <v>0</v>
      </c>
      <c r="V79" s="145">
        <v>0</v>
      </c>
      <c r="W79" s="254">
        <v>0</v>
      </c>
      <c r="X79" s="268">
        <v>0</v>
      </c>
      <c r="Y79" s="254">
        <f>'13'!AR87</f>
        <v>0</v>
      </c>
      <c r="Z79" s="268">
        <v>0</v>
      </c>
      <c r="AA79" s="254">
        <v>0</v>
      </c>
      <c r="AB79" s="268">
        <v>0</v>
      </c>
      <c r="AC79" s="254">
        <v>0</v>
      </c>
      <c r="AD79" s="268">
        <v>0</v>
      </c>
      <c r="AE79" s="254">
        <v>0</v>
      </c>
      <c r="AF79" s="268">
        <v>0</v>
      </c>
      <c r="AG79" s="254">
        <v>0</v>
      </c>
      <c r="AH79" s="268">
        <v>0</v>
      </c>
      <c r="AI79" s="254">
        <v>0</v>
      </c>
      <c r="AJ79" s="268">
        <v>0</v>
      </c>
      <c r="AK79" s="254">
        <v>0</v>
      </c>
      <c r="AL79" s="268">
        <v>0</v>
      </c>
      <c r="AM79" s="254">
        <v>0</v>
      </c>
      <c r="AN79" s="268">
        <v>0</v>
      </c>
      <c r="AO79" s="254">
        <v>0</v>
      </c>
      <c r="AP79" s="268">
        <v>0</v>
      </c>
      <c r="AQ79" s="254">
        <v>0</v>
      </c>
      <c r="AR79" s="268">
        <v>0</v>
      </c>
      <c r="AS79" s="254">
        <v>0</v>
      </c>
      <c r="AT79" s="268">
        <v>0</v>
      </c>
      <c r="AU79" s="254">
        <v>0</v>
      </c>
      <c r="AV79" s="268">
        <v>0</v>
      </c>
      <c r="AW79" s="254">
        <v>0</v>
      </c>
      <c r="AX79" s="268">
        <v>0</v>
      </c>
      <c r="AY79" s="254">
        <v>0</v>
      </c>
      <c r="AZ79" s="259">
        <f>'10'!G64</f>
        <v>4.4643938198199997</v>
      </c>
      <c r="BA79" s="254">
        <f>'10'!H65</f>
        <v>0.69445557000000002</v>
      </c>
      <c r="BB79" s="268">
        <v>0</v>
      </c>
      <c r="BC79" s="254">
        <v>0</v>
      </c>
    </row>
    <row r="80" spans="1:55" s="273" customFormat="1" ht="47.25">
      <c r="A80" s="146" t="s">
        <v>925</v>
      </c>
      <c r="B80" s="144" t="s">
        <v>926</v>
      </c>
      <c r="C80" s="125" t="s">
        <v>876</v>
      </c>
      <c r="D80" s="255">
        <v>0</v>
      </c>
      <c r="E80" s="254">
        <v>0</v>
      </c>
      <c r="F80" s="268">
        <v>0</v>
      </c>
      <c r="G80" s="254">
        <v>0</v>
      </c>
      <c r="H80" s="268">
        <v>0</v>
      </c>
      <c r="I80" s="254">
        <v>0</v>
      </c>
      <c r="J80" s="268">
        <v>0</v>
      </c>
      <c r="K80" s="254">
        <v>0</v>
      </c>
      <c r="L80" s="268">
        <v>0</v>
      </c>
      <c r="M80" s="254">
        <v>0</v>
      </c>
      <c r="N80" s="268">
        <v>0</v>
      </c>
      <c r="O80" s="254">
        <v>0</v>
      </c>
      <c r="P80" s="268">
        <v>0</v>
      </c>
      <c r="Q80" s="254">
        <v>0</v>
      </c>
      <c r="R80" s="268">
        <v>0</v>
      </c>
      <c r="S80" s="254">
        <v>0</v>
      </c>
      <c r="T80" s="268">
        <v>0</v>
      </c>
      <c r="U80" s="254">
        <v>0</v>
      </c>
      <c r="V80" s="268">
        <v>0</v>
      </c>
      <c r="W80" s="254">
        <v>0</v>
      </c>
      <c r="X80" s="268">
        <v>0</v>
      </c>
      <c r="Y80" s="254">
        <f>'13'!AR88</f>
        <v>0</v>
      </c>
      <c r="Z80" s="268">
        <v>0</v>
      </c>
      <c r="AA80" s="254">
        <v>0</v>
      </c>
      <c r="AB80" s="268">
        <v>0</v>
      </c>
      <c r="AC80" s="254">
        <v>0</v>
      </c>
      <c r="AD80" s="268">
        <v>0</v>
      </c>
      <c r="AE80" s="254">
        <v>0</v>
      </c>
      <c r="AF80" s="268">
        <v>0</v>
      </c>
      <c r="AG80" s="254">
        <v>0</v>
      </c>
      <c r="AH80" s="268">
        <v>0</v>
      </c>
      <c r="AI80" s="254">
        <v>0</v>
      </c>
      <c r="AJ80" s="268">
        <v>0</v>
      </c>
      <c r="AK80" s="254">
        <v>0</v>
      </c>
      <c r="AL80" s="268">
        <v>0</v>
      </c>
      <c r="AM80" s="254">
        <v>0</v>
      </c>
      <c r="AN80" s="268">
        <v>0</v>
      </c>
      <c r="AO80" s="254">
        <v>0</v>
      </c>
      <c r="AP80" s="268">
        <v>0</v>
      </c>
      <c r="AQ80" s="254">
        <v>0</v>
      </c>
      <c r="AR80" s="268">
        <v>0</v>
      </c>
      <c r="AS80" s="254">
        <v>0</v>
      </c>
      <c r="AT80" s="268">
        <v>0</v>
      </c>
      <c r="AU80" s="254">
        <v>0</v>
      </c>
      <c r="AV80" s="268">
        <v>0</v>
      </c>
      <c r="AW80" s="254">
        <v>0</v>
      </c>
      <c r="AX80" s="268" t="s">
        <v>876</v>
      </c>
      <c r="AY80" s="254">
        <v>0</v>
      </c>
      <c r="AZ80" s="259">
        <f>'10'!G77</f>
        <v>0</v>
      </c>
      <c r="BA80" s="254">
        <f>'10'!H66</f>
        <v>0</v>
      </c>
      <c r="BB80" s="268">
        <v>0</v>
      </c>
      <c r="BC80" s="254">
        <v>0</v>
      </c>
    </row>
    <row r="81" spans="1:55" s="273" customFormat="1" ht="47.25">
      <c r="A81" s="118" t="s">
        <v>842</v>
      </c>
      <c r="B81" s="144" t="s">
        <v>927</v>
      </c>
      <c r="C81" s="125" t="s">
        <v>876</v>
      </c>
      <c r="D81" s="255">
        <v>0</v>
      </c>
      <c r="E81" s="254">
        <v>0</v>
      </c>
      <c r="F81" s="268">
        <v>0</v>
      </c>
      <c r="G81" s="254">
        <v>0</v>
      </c>
      <c r="H81" s="268">
        <v>0</v>
      </c>
      <c r="I81" s="254">
        <v>0</v>
      </c>
      <c r="J81" s="268">
        <v>0</v>
      </c>
      <c r="K81" s="254">
        <v>0</v>
      </c>
      <c r="L81" s="268">
        <v>0</v>
      </c>
      <c r="M81" s="254">
        <v>0</v>
      </c>
      <c r="N81" s="268">
        <v>0</v>
      </c>
      <c r="O81" s="254">
        <v>0</v>
      </c>
      <c r="P81" s="268">
        <v>0</v>
      </c>
      <c r="Q81" s="254">
        <v>0</v>
      </c>
      <c r="R81" s="268">
        <v>0</v>
      </c>
      <c r="S81" s="254">
        <v>0</v>
      </c>
      <c r="T81" s="268">
        <v>0</v>
      </c>
      <c r="U81" s="254">
        <v>0</v>
      </c>
      <c r="V81" s="268">
        <v>0</v>
      </c>
      <c r="W81" s="254">
        <v>0</v>
      </c>
      <c r="X81" s="268">
        <v>0</v>
      </c>
      <c r="Y81" s="254">
        <f>'13'!AR89</f>
        <v>0</v>
      </c>
      <c r="Z81" s="268">
        <v>0</v>
      </c>
      <c r="AA81" s="254">
        <v>0</v>
      </c>
      <c r="AB81" s="268">
        <v>0</v>
      </c>
      <c r="AC81" s="254">
        <v>0</v>
      </c>
      <c r="AD81" s="268">
        <v>0</v>
      </c>
      <c r="AE81" s="254">
        <v>0</v>
      </c>
      <c r="AF81" s="268">
        <v>0</v>
      </c>
      <c r="AG81" s="254">
        <v>0</v>
      </c>
      <c r="AH81" s="268">
        <v>0</v>
      </c>
      <c r="AI81" s="254">
        <v>0</v>
      </c>
      <c r="AJ81" s="268">
        <v>0</v>
      </c>
      <c r="AK81" s="254">
        <v>0</v>
      </c>
      <c r="AL81" s="268">
        <v>0</v>
      </c>
      <c r="AM81" s="254">
        <v>0</v>
      </c>
      <c r="AN81" s="268">
        <v>0</v>
      </c>
      <c r="AO81" s="254">
        <v>0</v>
      </c>
      <c r="AP81" s="268">
        <v>0</v>
      </c>
      <c r="AQ81" s="254">
        <v>0</v>
      </c>
      <c r="AR81" s="268">
        <v>0</v>
      </c>
      <c r="AS81" s="254">
        <v>0</v>
      </c>
      <c r="AT81" s="268">
        <v>0</v>
      </c>
      <c r="AU81" s="254">
        <v>0</v>
      </c>
      <c r="AV81" s="268">
        <v>0</v>
      </c>
      <c r="AW81" s="254">
        <v>0</v>
      </c>
      <c r="AX81" s="268" t="s">
        <v>876</v>
      </c>
      <c r="AY81" s="254">
        <v>0</v>
      </c>
      <c r="AZ81" s="259">
        <f>'10'!G78</f>
        <v>0</v>
      </c>
      <c r="BA81" s="254">
        <f>'10'!H67</f>
        <v>0</v>
      </c>
      <c r="BB81" s="268">
        <v>0</v>
      </c>
      <c r="BC81" s="254">
        <v>0</v>
      </c>
    </row>
    <row r="82" spans="1:55" s="273" customFormat="1" ht="47.25">
      <c r="A82" s="146" t="s">
        <v>436</v>
      </c>
      <c r="B82" s="144" t="s">
        <v>928</v>
      </c>
      <c r="C82" s="125" t="s">
        <v>876</v>
      </c>
      <c r="D82" s="255">
        <v>0</v>
      </c>
      <c r="E82" s="254">
        <v>0</v>
      </c>
      <c r="F82" s="268">
        <v>0</v>
      </c>
      <c r="G82" s="254">
        <v>0</v>
      </c>
      <c r="H82" s="268">
        <v>0</v>
      </c>
      <c r="I82" s="254">
        <v>0</v>
      </c>
      <c r="J82" s="268">
        <v>0</v>
      </c>
      <c r="K82" s="254">
        <v>0</v>
      </c>
      <c r="L82" s="268">
        <v>0</v>
      </c>
      <c r="M82" s="254">
        <v>0</v>
      </c>
      <c r="N82" s="268">
        <v>0</v>
      </c>
      <c r="O82" s="254">
        <v>0</v>
      </c>
      <c r="P82" s="268">
        <v>0</v>
      </c>
      <c r="Q82" s="254">
        <v>0</v>
      </c>
      <c r="R82" s="268">
        <v>0</v>
      </c>
      <c r="S82" s="254">
        <v>0</v>
      </c>
      <c r="T82" s="268">
        <v>0</v>
      </c>
      <c r="U82" s="254">
        <v>0</v>
      </c>
      <c r="V82" s="268">
        <v>0</v>
      </c>
      <c r="W82" s="254">
        <v>0</v>
      </c>
      <c r="X82" s="268">
        <v>0</v>
      </c>
      <c r="Y82" s="254">
        <f>'13'!AR90</f>
        <v>0</v>
      </c>
      <c r="Z82" s="268">
        <v>0</v>
      </c>
      <c r="AA82" s="254">
        <v>0</v>
      </c>
      <c r="AB82" s="268">
        <v>0</v>
      </c>
      <c r="AC82" s="254">
        <v>0</v>
      </c>
      <c r="AD82" s="268">
        <v>0</v>
      </c>
      <c r="AE82" s="254">
        <v>0</v>
      </c>
      <c r="AF82" s="268">
        <v>0</v>
      </c>
      <c r="AG82" s="254">
        <v>0</v>
      </c>
      <c r="AH82" s="268">
        <v>0</v>
      </c>
      <c r="AI82" s="254">
        <v>0</v>
      </c>
      <c r="AJ82" s="268">
        <v>0</v>
      </c>
      <c r="AK82" s="254">
        <v>0</v>
      </c>
      <c r="AL82" s="268">
        <v>0</v>
      </c>
      <c r="AM82" s="254">
        <v>0</v>
      </c>
      <c r="AN82" s="268">
        <v>0</v>
      </c>
      <c r="AO82" s="254">
        <v>0</v>
      </c>
      <c r="AP82" s="268">
        <v>0</v>
      </c>
      <c r="AQ82" s="254">
        <v>0</v>
      </c>
      <c r="AR82" s="268">
        <v>0</v>
      </c>
      <c r="AS82" s="254">
        <v>0</v>
      </c>
      <c r="AT82" s="268">
        <v>0</v>
      </c>
      <c r="AU82" s="254">
        <v>0</v>
      </c>
      <c r="AV82" s="268">
        <v>0</v>
      </c>
      <c r="AW82" s="254">
        <v>0</v>
      </c>
      <c r="AX82" s="268" t="s">
        <v>876</v>
      </c>
      <c r="AY82" s="254">
        <v>0</v>
      </c>
      <c r="AZ82" s="259">
        <f>'10'!G79</f>
        <v>0</v>
      </c>
      <c r="BA82" s="254">
        <f>'10'!H68</f>
        <v>0</v>
      </c>
      <c r="BB82" s="268">
        <v>0</v>
      </c>
      <c r="BC82" s="254">
        <v>0</v>
      </c>
    </row>
    <row r="83" spans="1:55" s="273" customFormat="1" ht="47.25">
      <c r="A83" s="146" t="s">
        <v>440</v>
      </c>
      <c r="B83" s="144" t="s">
        <v>929</v>
      </c>
      <c r="C83" s="125" t="s">
        <v>876</v>
      </c>
      <c r="D83" s="255">
        <v>0</v>
      </c>
      <c r="E83" s="254">
        <v>0</v>
      </c>
      <c r="F83" s="268">
        <v>0</v>
      </c>
      <c r="G83" s="254">
        <v>0</v>
      </c>
      <c r="H83" s="268">
        <v>0</v>
      </c>
      <c r="I83" s="254">
        <v>0</v>
      </c>
      <c r="J83" s="268">
        <v>0</v>
      </c>
      <c r="K83" s="254">
        <v>0</v>
      </c>
      <c r="L83" s="268">
        <v>0</v>
      </c>
      <c r="M83" s="254">
        <v>0</v>
      </c>
      <c r="N83" s="268">
        <v>0</v>
      </c>
      <c r="O83" s="254">
        <v>0</v>
      </c>
      <c r="P83" s="268">
        <v>0</v>
      </c>
      <c r="Q83" s="254">
        <v>0</v>
      </c>
      <c r="R83" s="268">
        <v>0</v>
      </c>
      <c r="S83" s="254">
        <v>0</v>
      </c>
      <c r="T83" s="268">
        <v>0</v>
      </c>
      <c r="U83" s="254">
        <v>0</v>
      </c>
      <c r="V83" s="268">
        <v>0</v>
      </c>
      <c r="W83" s="254">
        <v>0</v>
      </c>
      <c r="X83" s="268">
        <v>0</v>
      </c>
      <c r="Y83" s="254">
        <f>'13'!AR91</f>
        <v>0</v>
      </c>
      <c r="Z83" s="268">
        <v>0</v>
      </c>
      <c r="AA83" s="254">
        <v>0</v>
      </c>
      <c r="AB83" s="268">
        <v>0</v>
      </c>
      <c r="AC83" s="254">
        <v>0</v>
      </c>
      <c r="AD83" s="268">
        <v>0</v>
      </c>
      <c r="AE83" s="254">
        <v>0</v>
      </c>
      <c r="AF83" s="268">
        <v>0</v>
      </c>
      <c r="AG83" s="254">
        <v>0</v>
      </c>
      <c r="AH83" s="268">
        <v>0</v>
      </c>
      <c r="AI83" s="254">
        <v>0</v>
      </c>
      <c r="AJ83" s="268">
        <v>0</v>
      </c>
      <c r="AK83" s="254">
        <v>0</v>
      </c>
      <c r="AL83" s="268">
        <v>0</v>
      </c>
      <c r="AM83" s="254">
        <v>0</v>
      </c>
      <c r="AN83" s="268">
        <v>0</v>
      </c>
      <c r="AO83" s="254">
        <v>0</v>
      </c>
      <c r="AP83" s="268">
        <v>0</v>
      </c>
      <c r="AQ83" s="254">
        <v>0</v>
      </c>
      <c r="AR83" s="268">
        <v>0</v>
      </c>
      <c r="AS83" s="254">
        <v>0</v>
      </c>
      <c r="AT83" s="268">
        <v>0</v>
      </c>
      <c r="AU83" s="254">
        <v>0</v>
      </c>
      <c r="AV83" s="268">
        <v>0</v>
      </c>
      <c r="AW83" s="254">
        <v>0</v>
      </c>
      <c r="AX83" s="268" t="s">
        <v>876</v>
      </c>
      <c r="AY83" s="254">
        <v>0</v>
      </c>
      <c r="AZ83" s="259">
        <f>'10'!G80</f>
        <v>0</v>
      </c>
      <c r="BA83" s="254">
        <f>'10'!H69</f>
        <v>0</v>
      </c>
      <c r="BB83" s="268">
        <v>0</v>
      </c>
      <c r="BC83" s="254">
        <v>0</v>
      </c>
    </row>
    <row r="84" spans="1:55" s="273" customFormat="1" ht="47.25">
      <c r="A84" s="146" t="s">
        <v>441</v>
      </c>
      <c r="B84" s="144" t="s">
        <v>930</v>
      </c>
      <c r="C84" s="125" t="s">
        <v>876</v>
      </c>
      <c r="D84" s="255">
        <v>0</v>
      </c>
      <c r="E84" s="254">
        <v>0</v>
      </c>
      <c r="F84" s="268">
        <v>0</v>
      </c>
      <c r="G84" s="254">
        <v>0</v>
      </c>
      <c r="H84" s="268">
        <v>0</v>
      </c>
      <c r="I84" s="254">
        <v>0</v>
      </c>
      <c r="J84" s="268">
        <v>0</v>
      </c>
      <c r="K84" s="254">
        <v>0</v>
      </c>
      <c r="L84" s="268">
        <v>0</v>
      </c>
      <c r="M84" s="254">
        <v>0</v>
      </c>
      <c r="N84" s="268">
        <v>0</v>
      </c>
      <c r="O84" s="254">
        <v>0</v>
      </c>
      <c r="P84" s="268">
        <v>0</v>
      </c>
      <c r="Q84" s="254">
        <v>0</v>
      </c>
      <c r="R84" s="268">
        <v>0</v>
      </c>
      <c r="S84" s="254">
        <v>0</v>
      </c>
      <c r="T84" s="268">
        <v>0</v>
      </c>
      <c r="U84" s="254">
        <v>0</v>
      </c>
      <c r="V84" s="268">
        <v>0</v>
      </c>
      <c r="W84" s="254">
        <v>0</v>
      </c>
      <c r="X84" s="268">
        <v>0</v>
      </c>
      <c r="Y84" s="254">
        <f>'13'!AR92</f>
        <v>0</v>
      </c>
      <c r="Z84" s="268">
        <v>0</v>
      </c>
      <c r="AA84" s="254">
        <v>0</v>
      </c>
      <c r="AB84" s="268">
        <v>0</v>
      </c>
      <c r="AC84" s="254">
        <v>0</v>
      </c>
      <c r="AD84" s="268">
        <v>0</v>
      </c>
      <c r="AE84" s="254">
        <v>0</v>
      </c>
      <c r="AF84" s="268">
        <v>0</v>
      </c>
      <c r="AG84" s="254">
        <v>0</v>
      </c>
      <c r="AH84" s="268">
        <v>0</v>
      </c>
      <c r="AI84" s="254">
        <v>0</v>
      </c>
      <c r="AJ84" s="268">
        <v>0</v>
      </c>
      <c r="AK84" s="254">
        <v>0</v>
      </c>
      <c r="AL84" s="268">
        <v>0</v>
      </c>
      <c r="AM84" s="254">
        <v>0</v>
      </c>
      <c r="AN84" s="268">
        <v>0</v>
      </c>
      <c r="AO84" s="254">
        <v>0</v>
      </c>
      <c r="AP84" s="268">
        <v>0</v>
      </c>
      <c r="AQ84" s="254">
        <v>0</v>
      </c>
      <c r="AR84" s="268">
        <v>0</v>
      </c>
      <c r="AS84" s="254">
        <v>0</v>
      </c>
      <c r="AT84" s="268">
        <v>0</v>
      </c>
      <c r="AU84" s="254">
        <v>0</v>
      </c>
      <c r="AV84" s="268">
        <v>0</v>
      </c>
      <c r="AW84" s="254">
        <v>0</v>
      </c>
      <c r="AX84" s="268" t="s">
        <v>876</v>
      </c>
      <c r="AY84" s="254">
        <v>0</v>
      </c>
      <c r="AZ84" s="259">
        <f>'10'!G81</f>
        <v>0</v>
      </c>
      <c r="BA84" s="254">
        <f>'10'!H70</f>
        <v>0</v>
      </c>
      <c r="BB84" s="268">
        <v>0</v>
      </c>
      <c r="BC84" s="254">
        <v>0</v>
      </c>
    </row>
    <row r="85" spans="1:55" s="273" customFormat="1" ht="47.25">
      <c r="A85" s="146" t="s">
        <v>442</v>
      </c>
      <c r="B85" s="144" t="s">
        <v>931</v>
      </c>
      <c r="C85" s="125" t="s">
        <v>876</v>
      </c>
      <c r="D85" s="255">
        <v>0</v>
      </c>
      <c r="E85" s="254">
        <v>0</v>
      </c>
      <c r="F85" s="268">
        <v>0</v>
      </c>
      <c r="G85" s="254">
        <v>0</v>
      </c>
      <c r="H85" s="268">
        <v>0</v>
      </c>
      <c r="I85" s="254">
        <v>0</v>
      </c>
      <c r="J85" s="268">
        <v>0</v>
      </c>
      <c r="K85" s="254">
        <v>0</v>
      </c>
      <c r="L85" s="268">
        <v>0</v>
      </c>
      <c r="M85" s="254">
        <v>0</v>
      </c>
      <c r="N85" s="268">
        <v>0</v>
      </c>
      <c r="O85" s="254">
        <v>0</v>
      </c>
      <c r="P85" s="268">
        <v>0</v>
      </c>
      <c r="Q85" s="254">
        <v>0</v>
      </c>
      <c r="R85" s="268">
        <v>0</v>
      </c>
      <c r="S85" s="254">
        <v>0</v>
      </c>
      <c r="T85" s="268">
        <v>0</v>
      </c>
      <c r="U85" s="254">
        <v>0</v>
      </c>
      <c r="V85" s="268">
        <v>0</v>
      </c>
      <c r="W85" s="254">
        <v>0</v>
      </c>
      <c r="X85" s="268">
        <v>0</v>
      </c>
      <c r="Y85" s="254">
        <f>'13'!AR93</f>
        <v>0</v>
      </c>
      <c r="Z85" s="268">
        <v>0</v>
      </c>
      <c r="AA85" s="254">
        <v>0</v>
      </c>
      <c r="AB85" s="268">
        <v>0</v>
      </c>
      <c r="AC85" s="254">
        <v>0</v>
      </c>
      <c r="AD85" s="268">
        <v>0</v>
      </c>
      <c r="AE85" s="254">
        <v>0</v>
      </c>
      <c r="AF85" s="268">
        <v>0</v>
      </c>
      <c r="AG85" s="254">
        <v>0</v>
      </c>
      <c r="AH85" s="268">
        <v>0</v>
      </c>
      <c r="AI85" s="254">
        <v>0</v>
      </c>
      <c r="AJ85" s="268">
        <v>0</v>
      </c>
      <c r="AK85" s="254">
        <v>0</v>
      </c>
      <c r="AL85" s="268">
        <v>0</v>
      </c>
      <c r="AM85" s="254">
        <v>0</v>
      </c>
      <c r="AN85" s="268">
        <v>0</v>
      </c>
      <c r="AO85" s="254">
        <v>0</v>
      </c>
      <c r="AP85" s="268">
        <v>0</v>
      </c>
      <c r="AQ85" s="254">
        <v>0</v>
      </c>
      <c r="AR85" s="268">
        <v>0</v>
      </c>
      <c r="AS85" s="254">
        <v>0</v>
      </c>
      <c r="AT85" s="268">
        <v>0</v>
      </c>
      <c r="AU85" s="254">
        <v>0</v>
      </c>
      <c r="AV85" s="268">
        <v>0</v>
      </c>
      <c r="AW85" s="254">
        <v>0</v>
      </c>
      <c r="AX85" s="268" t="s">
        <v>876</v>
      </c>
      <c r="AY85" s="254">
        <v>0</v>
      </c>
      <c r="AZ85" s="259">
        <v>0</v>
      </c>
      <c r="BA85" s="254">
        <f>'10'!H71</f>
        <v>0</v>
      </c>
      <c r="BB85" s="268">
        <v>0</v>
      </c>
      <c r="BC85" s="254">
        <v>0</v>
      </c>
    </row>
    <row r="86" spans="1:55" s="273" customFormat="1" ht="63">
      <c r="A86" s="146" t="s">
        <v>443</v>
      </c>
      <c r="B86" s="144" t="s">
        <v>932</v>
      </c>
      <c r="C86" s="125" t="s">
        <v>876</v>
      </c>
      <c r="D86" s="255">
        <v>0</v>
      </c>
      <c r="E86" s="254">
        <v>0</v>
      </c>
      <c r="F86" s="268">
        <v>0</v>
      </c>
      <c r="G86" s="254">
        <v>0</v>
      </c>
      <c r="H86" s="268">
        <v>0</v>
      </c>
      <c r="I86" s="254">
        <v>0</v>
      </c>
      <c r="J86" s="268">
        <v>0</v>
      </c>
      <c r="K86" s="254">
        <v>0</v>
      </c>
      <c r="L86" s="268">
        <v>0</v>
      </c>
      <c r="M86" s="254">
        <v>0</v>
      </c>
      <c r="N86" s="268">
        <v>0</v>
      </c>
      <c r="O86" s="254">
        <v>0</v>
      </c>
      <c r="P86" s="268">
        <v>0</v>
      </c>
      <c r="Q86" s="254">
        <v>0</v>
      </c>
      <c r="R86" s="268">
        <v>0</v>
      </c>
      <c r="S86" s="254">
        <v>0</v>
      </c>
      <c r="T86" s="268">
        <v>0</v>
      </c>
      <c r="U86" s="254">
        <v>0</v>
      </c>
      <c r="V86" s="268">
        <v>0</v>
      </c>
      <c r="W86" s="254">
        <v>0</v>
      </c>
      <c r="X86" s="268">
        <v>0</v>
      </c>
      <c r="Y86" s="254">
        <f>'13'!AR94</f>
        <v>0</v>
      </c>
      <c r="Z86" s="268">
        <v>0</v>
      </c>
      <c r="AA86" s="254">
        <v>0</v>
      </c>
      <c r="AB86" s="268">
        <v>0</v>
      </c>
      <c r="AC86" s="254">
        <v>0</v>
      </c>
      <c r="AD86" s="268">
        <v>0</v>
      </c>
      <c r="AE86" s="254">
        <v>0</v>
      </c>
      <c r="AF86" s="268">
        <v>0</v>
      </c>
      <c r="AG86" s="254">
        <v>0</v>
      </c>
      <c r="AH86" s="268">
        <v>0</v>
      </c>
      <c r="AI86" s="254">
        <v>0</v>
      </c>
      <c r="AJ86" s="268">
        <v>0</v>
      </c>
      <c r="AK86" s="254">
        <v>0</v>
      </c>
      <c r="AL86" s="268">
        <v>0</v>
      </c>
      <c r="AM86" s="254">
        <v>0</v>
      </c>
      <c r="AN86" s="268">
        <v>0</v>
      </c>
      <c r="AO86" s="254">
        <v>0</v>
      </c>
      <c r="AP86" s="268">
        <v>0</v>
      </c>
      <c r="AQ86" s="254">
        <v>0</v>
      </c>
      <c r="AR86" s="268">
        <v>0</v>
      </c>
      <c r="AS86" s="254">
        <v>0</v>
      </c>
      <c r="AT86" s="268">
        <v>0</v>
      </c>
      <c r="AU86" s="254">
        <v>0</v>
      </c>
      <c r="AV86" s="268">
        <v>0</v>
      </c>
      <c r="AW86" s="254">
        <v>0</v>
      </c>
      <c r="AX86" s="268" t="s">
        <v>876</v>
      </c>
      <c r="AY86" s="254">
        <v>0</v>
      </c>
      <c r="AZ86" s="259">
        <v>0</v>
      </c>
      <c r="BA86" s="254">
        <f>'10'!H72</f>
        <v>0</v>
      </c>
      <c r="BB86" s="268">
        <v>0</v>
      </c>
      <c r="BC86" s="254">
        <v>0</v>
      </c>
    </row>
    <row r="87" spans="1:55" s="273" customFormat="1" ht="63">
      <c r="A87" s="146" t="s">
        <v>444</v>
      </c>
      <c r="B87" s="144" t="s">
        <v>933</v>
      </c>
      <c r="C87" s="125" t="s">
        <v>876</v>
      </c>
      <c r="D87" s="255">
        <v>0</v>
      </c>
      <c r="E87" s="254">
        <v>0</v>
      </c>
      <c r="F87" s="268">
        <v>0</v>
      </c>
      <c r="G87" s="254">
        <v>0</v>
      </c>
      <c r="H87" s="268">
        <v>0</v>
      </c>
      <c r="I87" s="254">
        <v>0</v>
      </c>
      <c r="J87" s="268">
        <v>0</v>
      </c>
      <c r="K87" s="254">
        <v>0</v>
      </c>
      <c r="L87" s="268">
        <v>0</v>
      </c>
      <c r="M87" s="254">
        <v>0</v>
      </c>
      <c r="N87" s="268">
        <v>0</v>
      </c>
      <c r="O87" s="254">
        <v>0</v>
      </c>
      <c r="P87" s="268">
        <v>0</v>
      </c>
      <c r="Q87" s="254">
        <v>0</v>
      </c>
      <c r="R87" s="268">
        <v>0</v>
      </c>
      <c r="S87" s="254">
        <v>0</v>
      </c>
      <c r="T87" s="268">
        <v>0</v>
      </c>
      <c r="U87" s="254">
        <v>0</v>
      </c>
      <c r="V87" s="268">
        <v>0</v>
      </c>
      <c r="W87" s="254">
        <v>0</v>
      </c>
      <c r="X87" s="268">
        <v>0</v>
      </c>
      <c r="Y87" s="254">
        <f>'13'!AR95</f>
        <v>0</v>
      </c>
      <c r="Z87" s="268">
        <v>0</v>
      </c>
      <c r="AA87" s="254">
        <v>0</v>
      </c>
      <c r="AB87" s="268">
        <v>0</v>
      </c>
      <c r="AC87" s="254">
        <v>0</v>
      </c>
      <c r="AD87" s="268">
        <v>0</v>
      </c>
      <c r="AE87" s="254">
        <v>0</v>
      </c>
      <c r="AF87" s="268">
        <v>0</v>
      </c>
      <c r="AG87" s="254">
        <v>0</v>
      </c>
      <c r="AH87" s="268">
        <v>0</v>
      </c>
      <c r="AI87" s="254">
        <v>0</v>
      </c>
      <c r="AJ87" s="268">
        <v>0</v>
      </c>
      <c r="AK87" s="254">
        <v>0</v>
      </c>
      <c r="AL87" s="268">
        <v>0</v>
      </c>
      <c r="AM87" s="254">
        <v>0</v>
      </c>
      <c r="AN87" s="268">
        <v>0</v>
      </c>
      <c r="AO87" s="254">
        <v>0</v>
      </c>
      <c r="AP87" s="268">
        <v>0</v>
      </c>
      <c r="AQ87" s="254">
        <v>0</v>
      </c>
      <c r="AR87" s="268">
        <v>0</v>
      </c>
      <c r="AS87" s="254">
        <v>0</v>
      </c>
      <c r="AT87" s="268">
        <v>0</v>
      </c>
      <c r="AU87" s="254">
        <v>0</v>
      </c>
      <c r="AV87" s="268">
        <v>0</v>
      </c>
      <c r="AW87" s="254">
        <v>0</v>
      </c>
      <c r="AX87" s="268" t="s">
        <v>876</v>
      </c>
      <c r="AY87" s="254">
        <v>0</v>
      </c>
      <c r="AZ87" s="259">
        <v>0</v>
      </c>
      <c r="BA87" s="254">
        <f>'10'!H73</f>
        <v>0</v>
      </c>
      <c r="BB87" s="268">
        <v>0</v>
      </c>
      <c r="BC87" s="254">
        <v>0</v>
      </c>
    </row>
    <row r="88" spans="1:55" s="273" customFormat="1" ht="63">
      <c r="A88" s="146" t="s">
        <v>445</v>
      </c>
      <c r="B88" s="144" t="s">
        <v>934</v>
      </c>
      <c r="C88" s="125" t="s">
        <v>876</v>
      </c>
      <c r="D88" s="255">
        <v>0</v>
      </c>
      <c r="E88" s="254">
        <v>0</v>
      </c>
      <c r="F88" s="268">
        <v>0</v>
      </c>
      <c r="G88" s="254">
        <v>0</v>
      </c>
      <c r="H88" s="268">
        <v>0</v>
      </c>
      <c r="I88" s="254">
        <v>0</v>
      </c>
      <c r="J88" s="268">
        <v>0</v>
      </c>
      <c r="K88" s="254">
        <v>0</v>
      </c>
      <c r="L88" s="268">
        <v>0</v>
      </c>
      <c r="M88" s="254">
        <v>0</v>
      </c>
      <c r="N88" s="268">
        <v>0</v>
      </c>
      <c r="O88" s="254">
        <v>0</v>
      </c>
      <c r="P88" s="268">
        <v>0</v>
      </c>
      <c r="Q88" s="254">
        <v>0</v>
      </c>
      <c r="R88" s="268">
        <v>0</v>
      </c>
      <c r="S88" s="254">
        <v>0</v>
      </c>
      <c r="T88" s="268">
        <v>0</v>
      </c>
      <c r="U88" s="254">
        <v>0</v>
      </c>
      <c r="V88" s="268">
        <v>0</v>
      </c>
      <c r="W88" s="254">
        <v>0</v>
      </c>
      <c r="X88" s="268">
        <v>0</v>
      </c>
      <c r="Y88" s="254">
        <f>'13'!AR96</f>
        <v>0</v>
      </c>
      <c r="Z88" s="268">
        <v>0</v>
      </c>
      <c r="AA88" s="254">
        <v>0</v>
      </c>
      <c r="AB88" s="268">
        <v>0</v>
      </c>
      <c r="AC88" s="254">
        <v>0</v>
      </c>
      <c r="AD88" s="268">
        <v>0</v>
      </c>
      <c r="AE88" s="254">
        <v>0</v>
      </c>
      <c r="AF88" s="268">
        <v>0</v>
      </c>
      <c r="AG88" s="254">
        <v>0</v>
      </c>
      <c r="AH88" s="268">
        <v>0</v>
      </c>
      <c r="AI88" s="254">
        <v>0</v>
      </c>
      <c r="AJ88" s="268">
        <v>0</v>
      </c>
      <c r="AK88" s="254">
        <v>0</v>
      </c>
      <c r="AL88" s="268">
        <v>0</v>
      </c>
      <c r="AM88" s="254">
        <v>0</v>
      </c>
      <c r="AN88" s="268">
        <v>0</v>
      </c>
      <c r="AO88" s="254">
        <v>0</v>
      </c>
      <c r="AP88" s="268">
        <v>0</v>
      </c>
      <c r="AQ88" s="254">
        <v>0</v>
      </c>
      <c r="AR88" s="268">
        <v>0</v>
      </c>
      <c r="AS88" s="254">
        <v>0</v>
      </c>
      <c r="AT88" s="268">
        <v>0</v>
      </c>
      <c r="AU88" s="254">
        <v>0</v>
      </c>
      <c r="AV88" s="268">
        <v>0</v>
      </c>
      <c r="AW88" s="254">
        <v>0</v>
      </c>
      <c r="AX88" s="268" t="s">
        <v>876</v>
      </c>
      <c r="AY88" s="254">
        <v>0</v>
      </c>
      <c r="AZ88" s="259">
        <f>'10'!G85</f>
        <v>0</v>
      </c>
      <c r="BA88" s="254">
        <f>'10'!H74</f>
        <v>0</v>
      </c>
      <c r="BB88" s="268">
        <v>0</v>
      </c>
      <c r="BC88" s="254">
        <v>0</v>
      </c>
    </row>
    <row r="89" spans="1:55" s="273" customFormat="1" ht="63">
      <c r="A89" s="146" t="s">
        <v>935</v>
      </c>
      <c r="B89" s="144" t="s">
        <v>936</v>
      </c>
      <c r="C89" s="125" t="s">
        <v>876</v>
      </c>
      <c r="D89" s="255">
        <v>0</v>
      </c>
      <c r="E89" s="254">
        <v>0</v>
      </c>
      <c r="F89" s="268">
        <v>0</v>
      </c>
      <c r="G89" s="254">
        <v>0</v>
      </c>
      <c r="H89" s="268">
        <v>0</v>
      </c>
      <c r="I89" s="254">
        <v>0</v>
      </c>
      <c r="J89" s="268">
        <v>0</v>
      </c>
      <c r="K89" s="254">
        <v>0</v>
      </c>
      <c r="L89" s="268">
        <v>0</v>
      </c>
      <c r="M89" s="254">
        <v>0</v>
      </c>
      <c r="N89" s="268">
        <v>0</v>
      </c>
      <c r="O89" s="254">
        <v>0</v>
      </c>
      <c r="P89" s="268">
        <v>0</v>
      </c>
      <c r="Q89" s="254">
        <v>0</v>
      </c>
      <c r="R89" s="268">
        <v>0</v>
      </c>
      <c r="S89" s="254">
        <v>0</v>
      </c>
      <c r="T89" s="268">
        <v>0</v>
      </c>
      <c r="U89" s="254">
        <v>0</v>
      </c>
      <c r="V89" s="268">
        <v>0</v>
      </c>
      <c r="W89" s="254">
        <v>0</v>
      </c>
      <c r="X89" s="268">
        <v>0</v>
      </c>
      <c r="Y89" s="254">
        <f>'13'!AR97</f>
        <v>0</v>
      </c>
      <c r="Z89" s="268">
        <v>0</v>
      </c>
      <c r="AA89" s="254">
        <v>0</v>
      </c>
      <c r="AB89" s="268">
        <v>0</v>
      </c>
      <c r="AC89" s="254">
        <v>0</v>
      </c>
      <c r="AD89" s="268">
        <v>0</v>
      </c>
      <c r="AE89" s="254">
        <v>0</v>
      </c>
      <c r="AF89" s="268">
        <v>0</v>
      </c>
      <c r="AG89" s="254">
        <v>0</v>
      </c>
      <c r="AH89" s="268">
        <v>0</v>
      </c>
      <c r="AI89" s="254">
        <v>0</v>
      </c>
      <c r="AJ89" s="268">
        <v>0</v>
      </c>
      <c r="AK89" s="254">
        <v>0</v>
      </c>
      <c r="AL89" s="268">
        <v>0</v>
      </c>
      <c r="AM89" s="254">
        <v>0</v>
      </c>
      <c r="AN89" s="268">
        <v>0</v>
      </c>
      <c r="AO89" s="254">
        <v>0</v>
      </c>
      <c r="AP89" s="268">
        <v>0</v>
      </c>
      <c r="AQ89" s="254">
        <v>0</v>
      </c>
      <c r="AR89" s="268">
        <v>0</v>
      </c>
      <c r="AS89" s="254">
        <v>0</v>
      </c>
      <c r="AT89" s="268">
        <v>0</v>
      </c>
      <c r="AU89" s="254">
        <v>0</v>
      </c>
      <c r="AV89" s="268">
        <v>0</v>
      </c>
      <c r="AW89" s="254">
        <v>0</v>
      </c>
      <c r="AX89" s="268" t="s">
        <v>876</v>
      </c>
      <c r="AY89" s="254">
        <v>0</v>
      </c>
      <c r="AZ89" s="259">
        <v>0</v>
      </c>
      <c r="BA89" s="254">
        <f>'10'!H75</f>
        <v>0</v>
      </c>
      <c r="BB89" s="268">
        <v>0</v>
      </c>
      <c r="BC89" s="254">
        <v>0</v>
      </c>
    </row>
    <row r="90" spans="1:55" s="273" customFormat="1" ht="63">
      <c r="A90" s="118" t="s">
        <v>937</v>
      </c>
      <c r="B90" s="144" t="s">
        <v>938</v>
      </c>
      <c r="C90" s="125" t="s">
        <v>876</v>
      </c>
      <c r="D90" s="255">
        <v>0</v>
      </c>
      <c r="E90" s="254">
        <v>0</v>
      </c>
      <c r="F90" s="255">
        <v>0</v>
      </c>
      <c r="G90" s="254">
        <v>0</v>
      </c>
      <c r="H90" s="255">
        <v>0</v>
      </c>
      <c r="I90" s="254">
        <v>0</v>
      </c>
      <c r="J90" s="255">
        <v>0</v>
      </c>
      <c r="K90" s="254">
        <v>0</v>
      </c>
      <c r="L90" s="255">
        <v>0</v>
      </c>
      <c r="M90" s="254">
        <v>0</v>
      </c>
      <c r="N90" s="255">
        <v>0</v>
      </c>
      <c r="O90" s="254">
        <v>0</v>
      </c>
      <c r="P90" s="255">
        <v>0</v>
      </c>
      <c r="Q90" s="254">
        <v>0</v>
      </c>
      <c r="R90" s="255">
        <v>0</v>
      </c>
      <c r="S90" s="254">
        <v>0</v>
      </c>
      <c r="T90" s="255">
        <v>0</v>
      </c>
      <c r="U90" s="254">
        <v>0</v>
      </c>
      <c r="V90" s="255">
        <v>0</v>
      </c>
      <c r="W90" s="254">
        <v>0</v>
      </c>
      <c r="X90" s="255">
        <v>0</v>
      </c>
      <c r="Y90" s="254">
        <f>'13'!AR98</f>
        <v>0</v>
      </c>
      <c r="Z90" s="255">
        <v>0</v>
      </c>
      <c r="AA90" s="254">
        <v>0</v>
      </c>
      <c r="AB90" s="255">
        <v>0</v>
      </c>
      <c r="AC90" s="254">
        <v>0</v>
      </c>
      <c r="AD90" s="255">
        <v>0</v>
      </c>
      <c r="AE90" s="254">
        <v>0</v>
      </c>
      <c r="AF90" s="255">
        <v>0</v>
      </c>
      <c r="AG90" s="254">
        <v>0</v>
      </c>
      <c r="AH90" s="255">
        <v>0</v>
      </c>
      <c r="AI90" s="254">
        <v>0</v>
      </c>
      <c r="AJ90" s="255">
        <v>0</v>
      </c>
      <c r="AK90" s="254">
        <v>0</v>
      </c>
      <c r="AL90" s="255">
        <v>0</v>
      </c>
      <c r="AM90" s="254">
        <v>0</v>
      </c>
      <c r="AN90" s="255">
        <v>0</v>
      </c>
      <c r="AO90" s="254">
        <v>0</v>
      </c>
      <c r="AP90" s="255">
        <v>0</v>
      </c>
      <c r="AQ90" s="254">
        <v>0</v>
      </c>
      <c r="AR90" s="255">
        <v>0</v>
      </c>
      <c r="AS90" s="254">
        <v>0</v>
      </c>
      <c r="AT90" s="255">
        <v>0</v>
      </c>
      <c r="AU90" s="254">
        <v>0</v>
      </c>
      <c r="AV90" s="255">
        <v>0</v>
      </c>
      <c r="AW90" s="254">
        <v>0</v>
      </c>
      <c r="AX90" s="255" t="s">
        <v>876</v>
      </c>
      <c r="AY90" s="254">
        <v>0</v>
      </c>
      <c r="AZ90" s="259">
        <v>0</v>
      </c>
      <c r="BA90" s="254">
        <f>'10'!H76</f>
        <v>0</v>
      </c>
      <c r="BB90" s="255">
        <v>0</v>
      </c>
      <c r="BC90" s="254">
        <v>0</v>
      </c>
    </row>
    <row r="91" spans="1:55" s="273" customFormat="1" ht="47.25">
      <c r="A91" s="146" t="s">
        <v>939</v>
      </c>
      <c r="B91" s="144" t="s">
        <v>940</v>
      </c>
      <c r="C91" s="138" t="s">
        <v>876</v>
      </c>
      <c r="D91" s="255">
        <v>0</v>
      </c>
      <c r="E91" s="254">
        <v>0</v>
      </c>
      <c r="F91" s="268">
        <v>0</v>
      </c>
      <c r="G91" s="254">
        <v>0</v>
      </c>
      <c r="H91" s="268">
        <v>0</v>
      </c>
      <c r="I91" s="254">
        <v>0</v>
      </c>
      <c r="J91" s="268">
        <v>0</v>
      </c>
      <c r="K91" s="254">
        <v>0</v>
      </c>
      <c r="L91" s="268">
        <v>0</v>
      </c>
      <c r="M91" s="254">
        <v>0</v>
      </c>
      <c r="N91" s="268">
        <v>0</v>
      </c>
      <c r="O91" s="254">
        <v>0</v>
      </c>
      <c r="P91" s="268">
        <v>0</v>
      </c>
      <c r="Q91" s="254">
        <v>0</v>
      </c>
      <c r="R91" s="268">
        <v>0</v>
      </c>
      <c r="S91" s="254">
        <v>0</v>
      </c>
      <c r="T91" s="268">
        <v>0</v>
      </c>
      <c r="U91" s="254">
        <v>0</v>
      </c>
      <c r="V91" s="268">
        <v>0</v>
      </c>
      <c r="W91" s="254">
        <v>0</v>
      </c>
      <c r="X91" s="268">
        <v>0</v>
      </c>
      <c r="Y91" s="254">
        <f>'13'!AR99</f>
        <v>0</v>
      </c>
      <c r="Z91" s="268">
        <v>0</v>
      </c>
      <c r="AA91" s="254">
        <v>0</v>
      </c>
      <c r="AB91" s="268">
        <v>0</v>
      </c>
      <c r="AC91" s="254">
        <v>0</v>
      </c>
      <c r="AD91" s="268">
        <v>0</v>
      </c>
      <c r="AE91" s="254">
        <v>0</v>
      </c>
      <c r="AF91" s="268">
        <v>0</v>
      </c>
      <c r="AG91" s="254">
        <v>0</v>
      </c>
      <c r="AH91" s="268">
        <v>0</v>
      </c>
      <c r="AI91" s="254">
        <v>0</v>
      </c>
      <c r="AJ91" s="268">
        <v>0</v>
      </c>
      <c r="AK91" s="254">
        <v>0</v>
      </c>
      <c r="AL91" s="268">
        <v>0</v>
      </c>
      <c r="AM91" s="254">
        <v>0</v>
      </c>
      <c r="AN91" s="268">
        <v>0</v>
      </c>
      <c r="AO91" s="254">
        <v>0</v>
      </c>
      <c r="AP91" s="268">
        <v>0</v>
      </c>
      <c r="AQ91" s="254">
        <v>0</v>
      </c>
      <c r="AR91" s="268">
        <v>0</v>
      </c>
      <c r="AS91" s="254">
        <v>0</v>
      </c>
      <c r="AT91" s="268">
        <v>0</v>
      </c>
      <c r="AU91" s="254">
        <v>0</v>
      </c>
      <c r="AV91" s="268">
        <v>0</v>
      </c>
      <c r="AW91" s="254">
        <v>0</v>
      </c>
      <c r="AX91" s="268" t="s">
        <v>876</v>
      </c>
      <c r="AY91" s="254">
        <v>0</v>
      </c>
      <c r="AZ91" s="259">
        <v>0</v>
      </c>
      <c r="BA91" s="254">
        <f>'10'!H77</f>
        <v>0</v>
      </c>
      <c r="BB91" s="268">
        <v>0</v>
      </c>
      <c r="BC91" s="254">
        <v>0</v>
      </c>
    </row>
    <row r="92" spans="1:55" s="273" customFormat="1" ht="63">
      <c r="A92" s="146" t="s">
        <v>941</v>
      </c>
      <c r="B92" s="144" t="s">
        <v>942</v>
      </c>
      <c r="C92" s="125" t="s">
        <v>876</v>
      </c>
      <c r="D92" s="272">
        <v>0</v>
      </c>
      <c r="E92" s="254">
        <v>0</v>
      </c>
      <c r="F92" s="145">
        <v>0</v>
      </c>
      <c r="G92" s="254">
        <v>0</v>
      </c>
      <c r="H92" s="145">
        <v>0</v>
      </c>
      <c r="I92" s="254">
        <v>0</v>
      </c>
      <c r="J92" s="145">
        <v>0</v>
      </c>
      <c r="K92" s="254">
        <v>0</v>
      </c>
      <c r="L92" s="145">
        <v>0</v>
      </c>
      <c r="M92" s="254">
        <v>0</v>
      </c>
      <c r="N92" s="145">
        <v>0</v>
      </c>
      <c r="O92" s="254">
        <v>0</v>
      </c>
      <c r="P92" s="145">
        <v>0</v>
      </c>
      <c r="Q92" s="254">
        <v>0</v>
      </c>
      <c r="R92" s="145">
        <v>0</v>
      </c>
      <c r="S92" s="254">
        <v>0</v>
      </c>
      <c r="T92" s="145">
        <v>0</v>
      </c>
      <c r="U92" s="254">
        <v>0</v>
      </c>
      <c r="V92" s="145">
        <v>0</v>
      </c>
      <c r="W92" s="254">
        <v>0</v>
      </c>
      <c r="X92" s="145">
        <v>0</v>
      </c>
      <c r="Y92" s="254">
        <f>'13'!AR100</f>
        <v>0</v>
      </c>
      <c r="Z92" s="145">
        <v>0</v>
      </c>
      <c r="AA92" s="254">
        <v>0</v>
      </c>
      <c r="AB92" s="145">
        <v>0</v>
      </c>
      <c r="AC92" s="254">
        <v>0</v>
      </c>
      <c r="AD92" s="145">
        <v>0</v>
      </c>
      <c r="AE92" s="254">
        <v>0</v>
      </c>
      <c r="AF92" s="145">
        <v>0</v>
      </c>
      <c r="AG92" s="254">
        <v>0</v>
      </c>
      <c r="AH92" s="145">
        <v>0</v>
      </c>
      <c r="AI92" s="254">
        <v>0</v>
      </c>
      <c r="AJ92" s="145">
        <v>0</v>
      </c>
      <c r="AK92" s="254">
        <v>0</v>
      </c>
      <c r="AL92" s="145">
        <v>0</v>
      </c>
      <c r="AM92" s="254">
        <v>0</v>
      </c>
      <c r="AN92" s="145">
        <v>0</v>
      </c>
      <c r="AO92" s="254">
        <v>0</v>
      </c>
      <c r="AP92" s="145">
        <v>0</v>
      </c>
      <c r="AQ92" s="254">
        <v>0</v>
      </c>
      <c r="AR92" s="145">
        <v>0</v>
      </c>
      <c r="AS92" s="254">
        <v>0</v>
      </c>
      <c r="AT92" s="145">
        <v>0</v>
      </c>
      <c r="AU92" s="254">
        <v>0</v>
      </c>
      <c r="AV92" s="145">
        <v>0</v>
      </c>
      <c r="AW92" s="254">
        <v>0</v>
      </c>
      <c r="AX92" s="145" t="s">
        <v>876</v>
      </c>
      <c r="AY92" s="254">
        <v>0</v>
      </c>
      <c r="AZ92" s="259">
        <v>0</v>
      </c>
      <c r="BA92" s="254">
        <f>'10'!H78</f>
        <v>0</v>
      </c>
      <c r="BB92" s="145">
        <v>0</v>
      </c>
      <c r="BC92" s="254">
        <v>0</v>
      </c>
    </row>
    <row r="93" spans="1:55" s="273" customFormat="1" ht="141.75">
      <c r="A93" s="118" t="s">
        <v>943</v>
      </c>
      <c r="B93" s="144" t="s">
        <v>944</v>
      </c>
      <c r="C93" s="125" t="s">
        <v>876</v>
      </c>
      <c r="D93" s="272">
        <v>0</v>
      </c>
      <c r="E93" s="254">
        <v>0</v>
      </c>
      <c r="F93" s="145">
        <v>0</v>
      </c>
      <c r="G93" s="254">
        <v>0</v>
      </c>
      <c r="H93" s="145">
        <v>0</v>
      </c>
      <c r="I93" s="254">
        <v>0</v>
      </c>
      <c r="J93" s="145">
        <v>0</v>
      </c>
      <c r="K93" s="254">
        <v>0</v>
      </c>
      <c r="L93" s="145">
        <v>0</v>
      </c>
      <c r="M93" s="254">
        <v>0</v>
      </c>
      <c r="N93" s="145">
        <v>0</v>
      </c>
      <c r="O93" s="254">
        <v>0</v>
      </c>
      <c r="P93" s="145">
        <v>0</v>
      </c>
      <c r="Q93" s="254">
        <v>0</v>
      </c>
      <c r="R93" s="145">
        <v>0</v>
      </c>
      <c r="S93" s="254">
        <v>0</v>
      </c>
      <c r="T93" s="145">
        <v>0</v>
      </c>
      <c r="U93" s="254">
        <v>0</v>
      </c>
      <c r="V93" s="145">
        <v>0</v>
      </c>
      <c r="W93" s="254">
        <v>0</v>
      </c>
      <c r="X93" s="145">
        <v>0</v>
      </c>
      <c r="Y93" s="254">
        <f>'13'!AR101</f>
        <v>0</v>
      </c>
      <c r="Z93" s="145">
        <v>0</v>
      </c>
      <c r="AA93" s="254">
        <v>0</v>
      </c>
      <c r="AB93" s="145">
        <v>0</v>
      </c>
      <c r="AC93" s="254">
        <v>0</v>
      </c>
      <c r="AD93" s="145">
        <v>0</v>
      </c>
      <c r="AE93" s="254">
        <v>0</v>
      </c>
      <c r="AF93" s="145">
        <v>0</v>
      </c>
      <c r="AG93" s="254">
        <v>0</v>
      </c>
      <c r="AH93" s="145">
        <v>0</v>
      </c>
      <c r="AI93" s="254">
        <v>0</v>
      </c>
      <c r="AJ93" s="145">
        <v>0</v>
      </c>
      <c r="AK93" s="254">
        <v>0</v>
      </c>
      <c r="AL93" s="145">
        <v>0</v>
      </c>
      <c r="AM93" s="254">
        <v>0</v>
      </c>
      <c r="AN93" s="145">
        <v>0</v>
      </c>
      <c r="AO93" s="254">
        <v>0</v>
      </c>
      <c r="AP93" s="145">
        <v>0</v>
      </c>
      <c r="AQ93" s="254">
        <v>0</v>
      </c>
      <c r="AR93" s="145">
        <v>0</v>
      </c>
      <c r="AS93" s="254">
        <v>0</v>
      </c>
      <c r="AT93" s="145">
        <v>0</v>
      </c>
      <c r="AU93" s="254">
        <v>0</v>
      </c>
      <c r="AV93" s="145">
        <v>0</v>
      </c>
      <c r="AW93" s="254">
        <v>0</v>
      </c>
      <c r="AX93" s="145" t="s">
        <v>876</v>
      </c>
      <c r="AY93" s="254">
        <v>0</v>
      </c>
      <c r="AZ93" s="259">
        <v>0</v>
      </c>
      <c r="BA93" s="254">
        <f>'10'!H79</f>
        <v>0</v>
      </c>
      <c r="BB93" s="145">
        <v>0</v>
      </c>
      <c r="BC93" s="254">
        <v>0</v>
      </c>
    </row>
    <row r="94" spans="1:55" s="273" customFormat="1" ht="78.75">
      <c r="A94" s="118" t="s">
        <v>945</v>
      </c>
      <c r="B94" s="144" t="s">
        <v>946</v>
      </c>
      <c r="C94" s="125" t="s">
        <v>876</v>
      </c>
      <c r="D94" s="272">
        <v>0</v>
      </c>
      <c r="E94" s="254">
        <v>0</v>
      </c>
      <c r="F94" s="145">
        <v>0</v>
      </c>
      <c r="G94" s="254">
        <v>0</v>
      </c>
      <c r="H94" s="145">
        <v>0</v>
      </c>
      <c r="I94" s="254">
        <v>0</v>
      </c>
      <c r="J94" s="145">
        <v>0</v>
      </c>
      <c r="K94" s="254">
        <v>0</v>
      </c>
      <c r="L94" s="145">
        <v>0</v>
      </c>
      <c r="M94" s="254">
        <v>0</v>
      </c>
      <c r="N94" s="145">
        <v>0</v>
      </c>
      <c r="O94" s="254">
        <v>0</v>
      </c>
      <c r="P94" s="145">
        <v>0</v>
      </c>
      <c r="Q94" s="254">
        <v>0</v>
      </c>
      <c r="R94" s="145">
        <v>0</v>
      </c>
      <c r="S94" s="254">
        <v>0</v>
      </c>
      <c r="T94" s="145">
        <v>0</v>
      </c>
      <c r="U94" s="254">
        <v>0</v>
      </c>
      <c r="V94" s="145">
        <v>0</v>
      </c>
      <c r="W94" s="254">
        <v>0</v>
      </c>
      <c r="X94" s="145">
        <v>0</v>
      </c>
      <c r="Y94" s="254">
        <f>'13'!AR102</f>
        <v>0</v>
      </c>
      <c r="Z94" s="145">
        <v>0</v>
      </c>
      <c r="AA94" s="254">
        <v>0</v>
      </c>
      <c r="AB94" s="145">
        <v>0</v>
      </c>
      <c r="AC94" s="254">
        <v>0</v>
      </c>
      <c r="AD94" s="145">
        <v>0</v>
      </c>
      <c r="AE94" s="254">
        <v>0</v>
      </c>
      <c r="AF94" s="145">
        <v>0</v>
      </c>
      <c r="AG94" s="254">
        <v>0</v>
      </c>
      <c r="AH94" s="145">
        <v>0</v>
      </c>
      <c r="AI94" s="254">
        <v>0</v>
      </c>
      <c r="AJ94" s="145">
        <v>0</v>
      </c>
      <c r="AK94" s="254">
        <v>0</v>
      </c>
      <c r="AL94" s="145">
        <v>0</v>
      </c>
      <c r="AM94" s="254">
        <v>0</v>
      </c>
      <c r="AN94" s="145">
        <v>0</v>
      </c>
      <c r="AO94" s="254">
        <v>0</v>
      </c>
      <c r="AP94" s="145">
        <v>0</v>
      </c>
      <c r="AQ94" s="254">
        <v>0</v>
      </c>
      <c r="AR94" s="145">
        <v>0</v>
      </c>
      <c r="AS94" s="254">
        <v>0</v>
      </c>
      <c r="AT94" s="145">
        <v>0</v>
      </c>
      <c r="AU94" s="254">
        <v>0</v>
      </c>
      <c r="AV94" s="145">
        <v>0</v>
      </c>
      <c r="AW94" s="254">
        <v>0</v>
      </c>
      <c r="AX94" s="145" t="s">
        <v>876</v>
      </c>
      <c r="AY94" s="254">
        <v>0</v>
      </c>
      <c r="AZ94" s="259">
        <v>0</v>
      </c>
      <c r="BA94" s="254">
        <f>'10'!H80</f>
        <v>0</v>
      </c>
      <c r="BB94" s="145">
        <v>0</v>
      </c>
      <c r="BC94" s="254">
        <v>0</v>
      </c>
    </row>
    <row r="95" spans="1:55" s="273" customFormat="1" ht="78.75">
      <c r="A95" s="118" t="s">
        <v>947</v>
      </c>
      <c r="B95" s="144" t="s">
        <v>948</v>
      </c>
      <c r="C95" s="125" t="s">
        <v>876</v>
      </c>
      <c r="D95" s="272">
        <v>0</v>
      </c>
      <c r="E95" s="254">
        <v>0</v>
      </c>
      <c r="F95" s="145">
        <v>0</v>
      </c>
      <c r="G95" s="254">
        <v>0</v>
      </c>
      <c r="H95" s="145">
        <v>0</v>
      </c>
      <c r="I95" s="254">
        <v>0</v>
      </c>
      <c r="J95" s="145">
        <v>0</v>
      </c>
      <c r="K95" s="254">
        <v>0</v>
      </c>
      <c r="L95" s="145">
        <v>0</v>
      </c>
      <c r="M95" s="254">
        <v>0</v>
      </c>
      <c r="N95" s="145">
        <v>0</v>
      </c>
      <c r="O95" s="254">
        <v>0</v>
      </c>
      <c r="P95" s="145">
        <v>0</v>
      </c>
      <c r="Q95" s="254">
        <v>0</v>
      </c>
      <c r="R95" s="145">
        <v>0</v>
      </c>
      <c r="S95" s="254">
        <v>0</v>
      </c>
      <c r="T95" s="145">
        <v>0</v>
      </c>
      <c r="U95" s="254">
        <v>0</v>
      </c>
      <c r="V95" s="145">
        <v>0</v>
      </c>
      <c r="W95" s="254">
        <v>0</v>
      </c>
      <c r="X95" s="145">
        <v>0</v>
      </c>
      <c r="Y95" s="254">
        <f>'13'!AR103</f>
        <v>0</v>
      </c>
      <c r="Z95" s="145">
        <v>0</v>
      </c>
      <c r="AA95" s="254">
        <v>0</v>
      </c>
      <c r="AB95" s="145">
        <v>0</v>
      </c>
      <c r="AC95" s="254">
        <v>0</v>
      </c>
      <c r="AD95" s="145">
        <v>0</v>
      </c>
      <c r="AE95" s="254">
        <v>0</v>
      </c>
      <c r="AF95" s="145">
        <v>0</v>
      </c>
      <c r="AG95" s="254">
        <v>0</v>
      </c>
      <c r="AH95" s="145">
        <v>0</v>
      </c>
      <c r="AI95" s="254">
        <v>0</v>
      </c>
      <c r="AJ95" s="145">
        <v>0</v>
      </c>
      <c r="AK95" s="254">
        <v>0</v>
      </c>
      <c r="AL95" s="145">
        <v>0</v>
      </c>
      <c r="AM95" s="254">
        <v>0</v>
      </c>
      <c r="AN95" s="145">
        <v>0</v>
      </c>
      <c r="AO95" s="254">
        <v>0</v>
      </c>
      <c r="AP95" s="145">
        <v>0</v>
      </c>
      <c r="AQ95" s="254">
        <v>0</v>
      </c>
      <c r="AR95" s="145">
        <v>0</v>
      </c>
      <c r="AS95" s="254">
        <v>0</v>
      </c>
      <c r="AT95" s="145">
        <v>0</v>
      </c>
      <c r="AU95" s="254">
        <v>0</v>
      </c>
      <c r="AV95" s="145">
        <v>0</v>
      </c>
      <c r="AW95" s="254">
        <v>0</v>
      </c>
      <c r="AX95" s="145" t="s">
        <v>876</v>
      </c>
      <c r="AY95" s="254">
        <v>0</v>
      </c>
      <c r="AZ95" s="259">
        <v>0</v>
      </c>
      <c r="BA95" s="254">
        <f>'10'!H81</f>
        <v>0</v>
      </c>
      <c r="BB95" s="145">
        <v>0</v>
      </c>
      <c r="BC95" s="254">
        <v>0</v>
      </c>
    </row>
    <row r="96" spans="1:55" s="273" customFormat="1" ht="47.25">
      <c r="A96" s="118" t="s">
        <v>949</v>
      </c>
      <c r="B96" s="144" t="s">
        <v>884</v>
      </c>
      <c r="C96" s="138" t="s">
        <v>876</v>
      </c>
      <c r="D96" s="255">
        <v>0</v>
      </c>
      <c r="E96" s="254">
        <v>0</v>
      </c>
      <c r="F96" s="268">
        <v>0</v>
      </c>
      <c r="G96" s="254">
        <v>0</v>
      </c>
      <c r="H96" s="268">
        <v>0</v>
      </c>
      <c r="I96" s="254">
        <v>0</v>
      </c>
      <c r="J96" s="268">
        <v>0</v>
      </c>
      <c r="K96" s="254">
        <v>0</v>
      </c>
      <c r="L96" s="268">
        <v>0</v>
      </c>
      <c r="M96" s="254">
        <v>0</v>
      </c>
      <c r="N96" s="268">
        <v>0</v>
      </c>
      <c r="O96" s="254">
        <v>0</v>
      </c>
      <c r="P96" s="268">
        <v>0</v>
      </c>
      <c r="Q96" s="254">
        <v>0</v>
      </c>
      <c r="R96" s="268">
        <v>0</v>
      </c>
      <c r="S96" s="254">
        <v>0</v>
      </c>
      <c r="T96" s="268">
        <v>0</v>
      </c>
      <c r="U96" s="254">
        <v>0</v>
      </c>
      <c r="V96" s="268">
        <v>0</v>
      </c>
      <c r="W96" s="254">
        <v>0</v>
      </c>
      <c r="X96" s="268">
        <v>0</v>
      </c>
      <c r="Y96" s="254">
        <f>'13'!AR104</f>
        <v>0</v>
      </c>
      <c r="Z96" s="268">
        <v>0</v>
      </c>
      <c r="AA96" s="254">
        <v>0</v>
      </c>
      <c r="AB96" s="268">
        <v>0</v>
      </c>
      <c r="AC96" s="254">
        <v>0</v>
      </c>
      <c r="AD96" s="268">
        <v>0</v>
      </c>
      <c r="AE96" s="254">
        <v>0</v>
      </c>
      <c r="AF96" s="268">
        <v>0</v>
      </c>
      <c r="AG96" s="254">
        <v>0</v>
      </c>
      <c r="AH96" s="268">
        <v>0</v>
      </c>
      <c r="AI96" s="254">
        <v>0</v>
      </c>
      <c r="AJ96" s="268">
        <v>0</v>
      </c>
      <c r="AK96" s="254">
        <v>0</v>
      </c>
      <c r="AL96" s="268">
        <v>0</v>
      </c>
      <c r="AM96" s="254">
        <v>0</v>
      </c>
      <c r="AN96" s="268">
        <v>0</v>
      </c>
      <c r="AO96" s="254">
        <v>0</v>
      </c>
      <c r="AP96" s="268">
        <v>0</v>
      </c>
      <c r="AQ96" s="254">
        <v>0</v>
      </c>
      <c r="AR96" s="268">
        <v>0</v>
      </c>
      <c r="AS96" s="254">
        <v>0</v>
      </c>
      <c r="AT96" s="268">
        <v>0</v>
      </c>
      <c r="AU96" s="254">
        <v>0</v>
      </c>
      <c r="AV96" s="268">
        <v>0</v>
      </c>
      <c r="AW96" s="254">
        <v>0</v>
      </c>
      <c r="AX96" s="268" t="s">
        <v>876</v>
      </c>
      <c r="AY96" s="254">
        <v>0</v>
      </c>
      <c r="AZ96" s="259">
        <f>'10'!G82</f>
        <v>1.7919376000000002</v>
      </c>
      <c r="BA96" s="254">
        <f>'10'!H82</f>
        <v>1.7919376000000002</v>
      </c>
      <c r="BB96" s="268">
        <v>0</v>
      </c>
      <c r="BC96" s="254">
        <v>0</v>
      </c>
    </row>
    <row r="97" spans="1:55" s="273" customFormat="1" ht="63">
      <c r="A97" s="134" t="s">
        <v>843</v>
      </c>
      <c r="B97" s="147" t="s">
        <v>1072</v>
      </c>
      <c r="C97" s="130" t="s">
        <v>1088</v>
      </c>
      <c r="D97" s="255"/>
      <c r="E97" s="254">
        <v>0</v>
      </c>
      <c r="F97" s="268">
        <v>0</v>
      </c>
      <c r="G97" s="254">
        <v>0</v>
      </c>
      <c r="H97" s="268">
        <v>0</v>
      </c>
      <c r="I97" s="254">
        <v>0</v>
      </c>
      <c r="J97" s="268">
        <v>0</v>
      </c>
      <c r="K97" s="254">
        <v>0</v>
      </c>
      <c r="L97" s="268">
        <v>0</v>
      </c>
      <c r="M97" s="254">
        <v>0</v>
      </c>
      <c r="N97" s="268">
        <v>0</v>
      </c>
      <c r="O97" s="254">
        <v>0</v>
      </c>
      <c r="P97" s="268">
        <v>0</v>
      </c>
      <c r="Q97" s="254">
        <v>0</v>
      </c>
      <c r="R97" s="268">
        <v>0</v>
      </c>
      <c r="S97" s="254">
        <v>0</v>
      </c>
      <c r="T97" s="268">
        <v>0</v>
      </c>
      <c r="U97" s="254">
        <v>0</v>
      </c>
      <c r="V97" s="268">
        <v>0</v>
      </c>
      <c r="W97" s="254">
        <v>0</v>
      </c>
      <c r="X97" s="268">
        <v>0</v>
      </c>
      <c r="Y97" s="254">
        <f>'13'!AR105</f>
        <v>0</v>
      </c>
      <c r="Z97" s="268">
        <v>0</v>
      </c>
      <c r="AA97" s="254">
        <v>0</v>
      </c>
      <c r="AB97" s="268">
        <v>0</v>
      </c>
      <c r="AC97" s="254">
        <v>0</v>
      </c>
      <c r="AD97" s="268">
        <v>0</v>
      </c>
      <c r="AE97" s="254">
        <v>0</v>
      </c>
      <c r="AF97" s="268">
        <v>0</v>
      </c>
      <c r="AG97" s="254">
        <v>0</v>
      </c>
      <c r="AH97" s="268">
        <v>0</v>
      </c>
      <c r="AI97" s="254">
        <v>0</v>
      </c>
      <c r="AJ97" s="268">
        <v>0</v>
      </c>
      <c r="AK97" s="254">
        <v>0</v>
      </c>
      <c r="AL97" s="268">
        <v>0</v>
      </c>
      <c r="AM97" s="254">
        <v>0</v>
      </c>
      <c r="AN97" s="268">
        <v>0</v>
      </c>
      <c r="AO97" s="254">
        <v>0</v>
      </c>
      <c r="AP97" s="268">
        <v>0</v>
      </c>
      <c r="AQ97" s="254">
        <v>0</v>
      </c>
      <c r="AR97" s="268">
        <v>0</v>
      </c>
      <c r="AS97" s="254">
        <v>0</v>
      </c>
      <c r="AT97" s="268">
        <v>0</v>
      </c>
      <c r="AU97" s="254">
        <v>0</v>
      </c>
      <c r="AV97" s="268">
        <v>0</v>
      </c>
      <c r="AW97" s="254">
        <v>0</v>
      </c>
      <c r="AX97" s="268">
        <v>0</v>
      </c>
      <c r="AY97" s="254">
        <v>0</v>
      </c>
      <c r="AZ97" s="259">
        <f>'10'!G83</f>
        <v>1.1216254000000001</v>
      </c>
      <c r="BA97" s="254">
        <f>'10'!H83</f>
        <v>1.1216254000000001</v>
      </c>
      <c r="BB97" s="268">
        <v>0</v>
      </c>
      <c r="BC97" s="254">
        <v>0</v>
      </c>
    </row>
    <row r="98" spans="1:55" s="273" customFormat="1" ht="63">
      <c r="A98" s="134" t="s">
        <v>844</v>
      </c>
      <c r="B98" s="147" t="s">
        <v>1073</v>
      </c>
      <c r="C98" s="130" t="s">
        <v>1087</v>
      </c>
      <c r="D98" s="255"/>
      <c r="E98" s="254">
        <v>0</v>
      </c>
      <c r="F98" s="268">
        <v>0</v>
      </c>
      <c r="G98" s="254">
        <v>0</v>
      </c>
      <c r="H98" s="268">
        <v>0</v>
      </c>
      <c r="I98" s="254">
        <v>0</v>
      </c>
      <c r="J98" s="268">
        <v>0</v>
      </c>
      <c r="K98" s="254">
        <v>0</v>
      </c>
      <c r="L98" s="268">
        <v>0</v>
      </c>
      <c r="M98" s="254">
        <v>0</v>
      </c>
      <c r="N98" s="268">
        <v>0</v>
      </c>
      <c r="O98" s="254">
        <v>0</v>
      </c>
      <c r="P98" s="268">
        <v>0</v>
      </c>
      <c r="Q98" s="254">
        <v>0</v>
      </c>
      <c r="R98" s="268">
        <v>0</v>
      </c>
      <c r="S98" s="254">
        <v>0</v>
      </c>
      <c r="T98" s="268">
        <v>0</v>
      </c>
      <c r="U98" s="254">
        <v>0</v>
      </c>
      <c r="V98" s="268">
        <v>0</v>
      </c>
      <c r="W98" s="254">
        <v>0</v>
      </c>
      <c r="X98" s="268">
        <v>0</v>
      </c>
      <c r="Y98" s="254">
        <f>'13'!AR106</f>
        <v>0</v>
      </c>
      <c r="Z98" s="268">
        <v>0</v>
      </c>
      <c r="AA98" s="254">
        <v>0</v>
      </c>
      <c r="AB98" s="268">
        <v>0</v>
      </c>
      <c r="AC98" s="254">
        <v>0</v>
      </c>
      <c r="AD98" s="268">
        <v>0</v>
      </c>
      <c r="AE98" s="254">
        <v>0</v>
      </c>
      <c r="AF98" s="268">
        <v>0</v>
      </c>
      <c r="AG98" s="254">
        <v>0</v>
      </c>
      <c r="AH98" s="268">
        <v>0</v>
      </c>
      <c r="AI98" s="254">
        <v>0</v>
      </c>
      <c r="AJ98" s="268">
        <v>0</v>
      </c>
      <c r="AK98" s="254">
        <v>0</v>
      </c>
      <c r="AL98" s="268">
        <v>0</v>
      </c>
      <c r="AM98" s="254">
        <v>0</v>
      </c>
      <c r="AN98" s="268">
        <v>0</v>
      </c>
      <c r="AO98" s="254">
        <v>0</v>
      </c>
      <c r="AP98" s="268">
        <v>0</v>
      </c>
      <c r="AQ98" s="254">
        <v>0</v>
      </c>
      <c r="AR98" s="268">
        <v>0</v>
      </c>
      <c r="AS98" s="254">
        <v>0</v>
      </c>
      <c r="AT98" s="268">
        <v>0</v>
      </c>
      <c r="AU98" s="254">
        <v>0</v>
      </c>
      <c r="AV98" s="268">
        <v>0</v>
      </c>
      <c r="AW98" s="254">
        <v>0</v>
      </c>
      <c r="AX98" s="268">
        <v>0</v>
      </c>
      <c r="AY98" s="254">
        <v>0</v>
      </c>
      <c r="AZ98" s="259">
        <f>'10'!G84</f>
        <v>0.67031220000000002</v>
      </c>
      <c r="BA98" s="254">
        <f>'10'!H84</f>
        <v>0.67031220000000002</v>
      </c>
      <c r="BB98" s="268">
        <v>0</v>
      </c>
      <c r="BC98" s="254">
        <v>0</v>
      </c>
    </row>
    <row r="99" spans="1:55" s="273" customFormat="1" ht="47.25">
      <c r="A99" s="118" t="s">
        <v>950</v>
      </c>
      <c r="B99" s="144" t="s">
        <v>951</v>
      </c>
      <c r="C99" s="125" t="s">
        <v>876</v>
      </c>
      <c r="D99" s="255">
        <v>0</v>
      </c>
      <c r="E99" s="254">
        <v>0</v>
      </c>
      <c r="F99" s="268">
        <v>0</v>
      </c>
      <c r="G99" s="254">
        <v>0</v>
      </c>
      <c r="H99" s="268">
        <v>0</v>
      </c>
      <c r="I99" s="254">
        <v>0</v>
      </c>
      <c r="J99" s="268">
        <v>0</v>
      </c>
      <c r="K99" s="254">
        <v>0</v>
      </c>
      <c r="L99" s="268">
        <v>0</v>
      </c>
      <c r="M99" s="254">
        <v>0</v>
      </c>
      <c r="N99" s="268">
        <v>0</v>
      </c>
      <c r="O99" s="254">
        <v>0</v>
      </c>
      <c r="P99" s="268">
        <v>0</v>
      </c>
      <c r="Q99" s="254">
        <v>0</v>
      </c>
      <c r="R99" s="268">
        <v>0</v>
      </c>
      <c r="S99" s="254">
        <v>0</v>
      </c>
      <c r="T99" s="268">
        <v>0</v>
      </c>
      <c r="U99" s="254">
        <v>0</v>
      </c>
      <c r="V99" s="268">
        <v>0</v>
      </c>
      <c r="W99" s="254">
        <v>0</v>
      </c>
      <c r="X99" s="268">
        <v>0</v>
      </c>
      <c r="Y99" s="254">
        <f>'13'!AR107</f>
        <v>0</v>
      </c>
      <c r="Z99" s="268">
        <v>0</v>
      </c>
      <c r="AA99" s="254">
        <v>0</v>
      </c>
      <c r="AB99" s="268">
        <v>0</v>
      </c>
      <c r="AC99" s="254">
        <v>0</v>
      </c>
      <c r="AD99" s="268">
        <v>0</v>
      </c>
      <c r="AE99" s="254">
        <v>0</v>
      </c>
      <c r="AF99" s="268">
        <v>0</v>
      </c>
      <c r="AG99" s="254">
        <v>0</v>
      </c>
      <c r="AH99" s="268">
        <v>0</v>
      </c>
      <c r="AI99" s="254">
        <v>0</v>
      </c>
      <c r="AJ99" s="268">
        <v>0</v>
      </c>
      <c r="AK99" s="254">
        <v>0</v>
      </c>
      <c r="AL99" s="268">
        <v>0</v>
      </c>
      <c r="AM99" s="254">
        <v>0</v>
      </c>
      <c r="AN99" s="268">
        <v>0</v>
      </c>
      <c r="AO99" s="254">
        <v>0</v>
      </c>
      <c r="AP99" s="268">
        <v>0</v>
      </c>
      <c r="AQ99" s="254">
        <v>0</v>
      </c>
      <c r="AR99" s="268">
        <v>0</v>
      </c>
      <c r="AS99" s="254">
        <v>0</v>
      </c>
      <c r="AT99" s="268">
        <v>0</v>
      </c>
      <c r="AU99" s="254">
        <v>0</v>
      </c>
      <c r="AV99" s="268">
        <v>0</v>
      </c>
      <c r="AW99" s="254">
        <v>0</v>
      </c>
      <c r="AX99" s="268" t="s">
        <v>876</v>
      </c>
      <c r="AY99" s="254">
        <v>0</v>
      </c>
      <c r="AZ99" s="259">
        <f>'10'!G96</f>
        <v>0</v>
      </c>
      <c r="BA99" s="254">
        <f>'10'!H85</f>
        <v>0</v>
      </c>
      <c r="BB99" s="268">
        <v>0</v>
      </c>
      <c r="BC99" s="254">
        <v>0</v>
      </c>
    </row>
    <row r="100" spans="1:55" s="273" customFormat="1" ht="31.5">
      <c r="A100" s="118" t="s">
        <v>952</v>
      </c>
      <c r="B100" s="144" t="s">
        <v>953</v>
      </c>
      <c r="C100" s="125" t="s">
        <v>876</v>
      </c>
      <c r="D100" s="255">
        <v>0</v>
      </c>
      <c r="E100" s="254">
        <v>0</v>
      </c>
      <c r="F100" s="268">
        <v>0</v>
      </c>
      <c r="G100" s="254">
        <v>0</v>
      </c>
      <c r="H100" s="268">
        <v>0</v>
      </c>
      <c r="I100" s="254">
        <v>0</v>
      </c>
      <c r="J100" s="268">
        <v>0</v>
      </c>
      <c r="K100" s="254">
        <v>0</v>
      </c>
      <c r="L100" s="268">
        <v>0</v>
      </c>
      <c r="M100" s="254">
        <v>0</v>
      </c>
      <c r="N100" s="268">
        <v>0</v>
      </c>
      <c r="O100" s="254">
        <v>0</v>
      </c>
      <c r="P100" s="268">
        <v>0</v>
      </c>
      <c r="Q100" s="254">
        <v>0</v>
      </c>
      <c r="R100" s="268">
        <v>0</v>
      </c>
      <c r="S100" s="254">
        <v>0</v>
      </c>
      <c r="T100" s="268">
        <v>0</v>
      </c>
      <c r="U100" s="254">
        <v>0</v>
      </c>
      <c r="V100" s="268">
        <v>0</v>
      </c>
      <c r="W100" s="254">
        <v>0</v>
      </c>
      <c r="X100" s="268">
        <v>0</v>
      </c>
      <c r="Y100" s="254">
        <f>'13'!AR108</f>
        <v>0</v>
      </c>
      <c r="Z100" s="268">
        <v>0</v>
      </c>
      <c r="AA100" s="254">
        <v>0</v>
      </c>
      <c r="AB100" s="268">
        <v>0</v>
      </c>
      <c r="AC100" s="254">
        <v>0</v>
      </c>
      <c r="AD100" s="268">
        <v>0</v>
      </c>
      <c r="AE100" s="254">
        <v>0</v>
      </c>
      <c r="AF100" s="268">
        <v>0</v>
      </c>
      <c r="AG100" s="254">
        <v>0</v>
      </c>
      <c r="AH100" s="268">
        <v>0</v>
      </c>
      <c r="AI100" s="254">
        <v>0</v>
      </c>
      <c r="AJ100" s="268">
        <v>0</v>
      </c>
      <c r="AK100" s="254">
        <v>0</v>
      </c>
      <c r="AL100" s="268">
        <v>0</v>
      </c>
      <c r="AM100" s="254">
        <v>0</v>
      </c>
      <c r="AN100" s="268">
        <v>0</v>
      </c>
      <c r="AO100" s="254">
        <v>0</v>
      </c>
      <c r="AP100" s="268">
        <v>0</v>
      </c>
      <c r="AQ100" s="254">
        <v>0</v>
      </c>
      <c r="AR100" s="268">
        <v>0</v>
      </c>
      <c r="AS100" s="254">
        <v>0</v>
      </c>
      <c r="AT100" s="268">
        <v>0</v>
      </c>
      <c r="AU100" s="254">
        <v>0</v>
      </c>
      <c r="AV100" s="268">
        <v>0</v>
      </c>
      <c r="AW100" s="254">
        <v>0</v>
      </c>
      <c r="AX100" s="268">
        <v>1.64256</v>
      </c>
      <c r="AY100" s="254">
        <v>0</v>
      </c>
      <c r="AZ100" s="259">
        <f>BA100</f>
        <v>8.9344798730000008</v>
      </c>
      <c r="BA100" s="254">
        <f>BA101</f>
        <v>8.9344798730000008</v>
      </c>
      <c r="BB100" s="268">
        <v>0</v>
      </c>
      <c r="BC100" s="254">
        <v>0</v>
      </c>
    </row>
    <row r="101" spans="1:55" s="273" customFormat="1">
      <c r="A101" s="118" t="s">
        <v>952</v>
      </c>
      <c r="B101" s="144" t="s">
        <v>954</v>
      </c>
      <c r="C101" s="125" t="s">
        <v>876</v>
      </c>
      <c r="D101" s="255">
        <v>0</v>
      </c>
      <c r="E101" s="254">
        <v>0</v>
      </c>
      <c r="F101" s="268">
        <v>0</v>
      </c>
      <c r="G101" s="254">
        <v>0</v>
      </c>
      <c r="H101" s="268">
        <v>0</v>
      </c>
      <c r="I101" s="254">
        <v>0</v>
      </c>
      <c r="J101" s="268">
        <v>0</v>
      </c>
      <c r="K101" s="254">
        <v>0</v>
      </c>
      <c r="L101" s="268">
        <v>0</v>
      </c>
      <c r="M101" s="254">
        <v>0</v>
      </c>
      <c r="N101" s="268">
        <v>0</v>
      </c>
      <c r="O101" s="254">
        <v>0</v>
      </c>
      <c r="P101" s="268">
        <v>0</v>
      </c>
      <c r="Q101" s="254">
        <v>0</v>
      </c>
      <c r="R101" s="268">
        <v>0</v>
      </c>
      <c r="S101" s="254">
        <v>0</v>
      </c>
      <c r="T101" s="268">
        <v>0</v>
      </c>
      <c r="U101" s="254">
        <v>0</v>
      </c>
      <c r="V101" s="268">
        <v>0</v>
      </c>
      <c r="W101" s="254">
        <v>0</v>
      </c>
      <c r="X101" s="268">
        <v>0</v>
      </c>
      <c r="Y101" s="254">
        <f>'13'!AR109</f>
        <v>0</v>
      </c>
      <c r="Z101" s="268">
        <v>0</v>
      </c>
      <c r="AA101" s="254">
        <v>0</v>
      </c>
      <c r="AB101" s="268">
        <v>0</v>
      </c>
      <c r="AC101" s="254">
        <v>0</v>
      </c>
      <c r="AD101" s="268">
        <v>0</v>
      </c>
      <c r="AE101" s="254">
        <v>0</v>
      </c>
      <c r="AF101" s="268">
        <v>0</v>
      </c>
      <c r="AG101" s="254">
        <v>0</v>
      </c>
      <c r="AH101" s="268">
        <v>0</v>
      </c>
      <c r="AI101" s="254">
        <v>0</v>
      </c>
      <c r="AJ101" s="268">
        <v>0</v>
      </c>
      <c r="AK101" s="254">
        <v>0</v>
      </c>
      <c r="AL101" s="268">
        <v>0</v>
      </c>
      <c r="AM101" s="254">
        <v>0</v>
      </c>
      <c r="AN101" s="268">
        <v>0</v>
      </c>
      <c r="AO101" s="254">
        <v>0</v>
      </c>
      <c r="AP101" s="268">
        <v>0</v>
      </c>
      <c r="AQ101" s="254">
        <v>0</v>
      </c>
      <c r="AR101" s="268">
        <v>0</v>
      </c>
      <c r="AS101" s="254">
        <v>0</v>
      </c>
      <c r="AT101" s="268">
        <v>0</v>
      </c>
      <c r="AU101" s="254">
        <v>0</v>
      </c>
      <c r="AV101" s="268">
        <v>0</v>
      </c>
      <c r="AW101" s="254">
        <v>0</v>
      </c>
      <c r="AX101" s="268" t="s">
        <v>876</v>
      </c>
      <c r="AY101" s="254">
        <v>0</v>
      </c>
      <c r="AZ101" s="259">
        <f t="shared" ref="AZ101:AZ107" si="0">BA101</f>
        <v>8.9344798730000008</v>
      </c>
      <c r="BA101" s="254">
        <f>'10'!H86</f>
        <v>8.9344798730000008</v>
      </c>
      <c r="BB101" s="268">
        <v>0</v>
      </c>
      <c r="BC101" s="254">
        <v>0</v>
      </c>
    </row>
    <row r="102" spans="1:55" s="273" customFormat="1" ht="63">
      <c r="A102" s="118" t="s">
        <v>955</v>
      </c>
      <c r="B102" s="141" t="s">
        <v>956</v>
      </c>
      <c r="C102" s="119" t="s">
        <v>957</v>
      </c>
      <c r="D102" s="255">
        <v>0</v>
      </c>
      <c r="E102" s="254">
        <v>0</v>
      </c>
      <c r="F102" s="268">
        <v>0</v>
      </c>
      <c r="G102" s="254">
        <v>0</v>
      </c>
      <c r="H102" s="268">
        <v>0</v>
      </c>
      <c r="I102" s="254">
        <v>0</v>
      </c>
      <c r="J102" s="268">
        <v>0</v>
      </c>
      <c r="K102" s="254">
        <v>0</v>
      </c>
      <c r="L102" s="268">
        <v>0</v>
      </c>
      <c r="M102" s="254">
        <v>0</v>
      </c>
      <c r="N102" s="268">
        <v>0</v>
      </c>
      <c r="O102" s="254">
        <v>0</v>
      </c>
      <c r="P102" s="268">
        <v>0</v>
      </c>
      <c r="Q102" s="254">
        <v>0</v>
      </c>
      <c r="R102" s="268">
        <v>0</v>
      </c>
      <c r="S102" s="254">
        <v>0</v>
      </c>
      <c r="T102" s="268">
        <v>0</v>
      </c>
      <c r="U102" s="254">
        <v>0</v>
      </c>
      <c r="V102" s="268">
        <v>0</v>
      </c>
      <c r="W102" s="254">
        <v>0</v>
      </c>
      <c r="X102" s="268">
        <v>0</v>
      </c>
      <c r="Y102" s="254">
        <f>'13'!AR110</f>
        <v>0</v>
      </c>
      <c r="Z102" s="268">
        <v>0</v>
      </c>
      <c r="AA102" s="254">
        <v>0</v>
      </c>
      <c r="AB102" s="268">
        <v>0</v>
      </c>
      <c r="AC102" s="254">
        <v>0</v>
      </c>
      <c r="AD102" s="268">
        <v>0</v>
      </c>
      <c r="AE102" s="254">
        <v>0</v>
      </c>
      <c r="AF102" s="268">
        <v>0</v>
      </c>
      <c r="AG102" s="254">
        <v>0</v>
      </c>
      <c r="AH102" s="268">
        <v>0</v>
      </c>
      <c r="AI102" s="254">
        <v>0</v>
      </c>
      <c r="AJ102" s="268">
        <v>0</v>
      </c>
      <c r="AK102" s="254">
        <v>0</v>
      </c>
      <c r="AL102" s="268">
        <v>0</v>
      </c>
      <c r="AM102" s="254">
        <v>0</v>
      </c>
      <c r="AN102" s="268">
        <v>0</v>
      </c>
      <c r="AO102" s="254">
        <v>0</v>
      </c>
      <c r="AP102" s="268">
        <v>0</v>
      </c>
      <c r="AQ102" s="254">
        <v>0</v>
      </c>
      <c r="AR102" s="268">
        <v>0</v>
      </c>
      <c r="AS102" s="254">
        <v>0</v>
      </c>
      <c r="AT102" s="268">
        <v>0</v>
      </c>
      <c r="AU102" s="254">
        <v>0</v>
      </c>
      <c r="AV102" s="268">
        <v>0</v>
      </c>
      <c r="AW102" s="254">
        <v>0</v>
      </c>
      <c r="AX102" s="268" t="s">
        <v>876</v>
      </c>
      <c r="AY102" s="254">
        <v>0</v>
      </c>
      <c r="AZ102" s="259">
        <f t="shared" si="0"/>
        <v>0.82947987300000003</v>
      </c>
      <c r="BA102" s="254">
        <f>'10'!H87</f>
        <v>0.82947987300000003</v>
      </c>
      <c r="BB102" s="268">
        <v>0</v>
      </c>
      <c r="BC102" s="254">
        <v>0</v>
      </c>
    </row>
    <row r="103" spans="1:55" s="273" customFormat="1" ht="47.25">
      <c r="A103" s="118" t="s">
        <v>958</v>
      </c>
      <c r="B103" s="141" t="s">
        <v>959</v>
      </c>
      <c r="C103" s="119" t="s">
        <v>876</v>
      </c>
      <c r="D103" s="255">
        <v>0</v>
      </c>
      <c r="E103" s="254">
        <v>0</v>
      </c>
      <c r="F103" s="268">
        <v>0</v>
      </c>
      <c r="G103" s="254">
        <v>0</v>
      </c>
      <c r="H103" s="268">
        <v>0</v>
      </c>
      <c r="I103" s="254">
        <v>0</v>
      </c>
      <c r="J103" s="268">
        <v>0</v>
      </c>
      <c r="K103" s="254">
        <v>0</v>
      </c>
      <c r="L103" s="268">
        <v>0</v>
      </c>
      <c r="M103" s="254">
        <v>0</v>
      </c>
      <c r="N103" s="268">
        <v>0</v>
      </c>
      <c r="O103" s="254">
        <v>0</v>
      </c>
      <c r="P103" s="268">
        <v>0</v>
      </c>
      <c r="Q103" s="254">
        <v>0</v>
      </c>
      <c r="R103" s="268">
        <v>0</v>
      </c>
      <c r="S103" s="254">
        <v>0</v>
      </c>
      <c r="T103" s="268">
        <v>0</v>
      </c>
      <c r="U103" s="254">
        <v>0</v>
      </c>
      <c r="V103" s="268">
        <v>0</v>
      </c>
      <c r="W103" s="254">
        <v>0</v>
      </c>
      <c r="X103" s="268">
        <v>0</v>
      </c>
      <c r="Y103" s="254">
        <f>'13'!AR111</f>
        <v>0</v>
      </c>
      <c r="Z103" s="268">
        <v>0</v>
      </c>
      <c r="AA103" s="254">
        <v>0</v>
      </c>
      <c r="AB103" s="268">
        <v>0</v>
      </c>
      <c r="AC103" s="254">
        <v>0</v>
      </c>
      <c r="AD103" s="268">
        <v>0</v>
      </c>
      <c r="AE103" s="254">
        <v>0</v>
      </c>
      <c r="AF103" s="268">
        <v>0</v>
      </c>
      <c r="AG103" s="254">
        <v>0</v>
      </c>
      <c r="AH103" s="268">
        <v>0</v>
      </c>
      <c r="AI103" s="254">
        <v>0</v>
      </c>
      <c r="AJ103" s="268">
        <v>0</v>
      </c>
      <c r="AK103" s="254">
        <v>0</v>
      </c>
      <c r="AL103" s="268">
        <v>0</v>
      </c>
      <c r="AM103" s="254">
        <v>0</v>
      </c>
      <c r="AN103" s="268">
        <v>0</v>
      </c>
      <c r="AO103" s="254">
        <v>0</v>
      </c>
      <c r="AP103" s="268">
        <v>0</v>
      </c>
      <c r="AQ103" s="254">
        <v>0</v>
      </c>
      <c r="AR103" s="268">
        <v>0</v>
      </c>
      <c r="AS103" s="254">
        <v>0</v>
      </c>
      <c r="AT103" s="268">
        <v>0</v>
      </c>
      <c r="AU103" s="254">
        <v>0</v>
      </c>
      <c r="AV103" s="268">
        <v>0</v>
      </c>
      <c r="AW103" s="254">
        <v>0</v>
      </c>
      <c r="AX103" s="268" t="s">
        <v>876</v>
      </c>
      <c r="AY103" s="254">
        <v>0</v>
      </c>
      <c r="AZ103" s="259">
        <f t="shared" si="0"/>
        <v>8.1050000000000004</v>
      </c>
      <c r="BA103" s="254">
        <f>'10'!H88</f>
        <v>8.1050000000000004</v>
      </c>
      <c r="BB103" s="268">
        <v>0</v>
      </c>
      <c r="BC103" s="254">
        <v>0</v>
      </c>
    </row>
    <row r="104" spans="1:55" s="273" customFormat="1" ht="47.25">
      <c r="A104" s="118" t="s">
        <v>960</v>
      </c>
      <c r="B104" s="141" t="s">
        <v>961</v>
      </c>
      <c r="C104" s="119" t="s">
        <v>962</v>
      </c>
      <c r="D104" s="255">
        <v>0</v>
      </c>
      <c r="E104" s="254">
        <v>0</v>
      </c>
      <c r="F104" s="268">
        <v>0</v>
      </c>
      <c r="G104" s="254">
        <v>0</v>
      </c>
      <c r="H104" s="268">
        <v>0</v>
      </c>
      <c r="I104" s="254">
        <v>0</v>
      </c>
      <c r="J104" s="268">
        <v>0</v>
      </c>
      <c r="K104" s="254">
        <v>0</v>
      </c>
      <c r="L104" s="268">
        <v>0</v>
      </c>
      <c r="M104" s="254">
        <v>0</v>
      </c>
      <c r="N104" s="268">
        <v>0</v>
      </c>
      <c r="O104" s="254">
        <v>0</v>
      </c>
      <c r="P104" s="268">
        <v>0</v>
      </c>
      <c r="Q104" s="254">
        <v>0</v>
      </c>
      <c r="R104" s="268">
        <v>0</v>
      </c>
      <c r="S104" s="254">
        <v>0</v>
      </c>
      <c r="T104" s="268">
        <v>0</v>
      </c>
      <c r="U104" s="254">
        <v>0</v>
      </c>
      <c r="V104" s="268">
        <v>0</v>
      </c>
      <c r="W104" s="254">
        <v>0</v>
      </c>
      <c r="X104" s="268">
        <v>0</v>
      </c>
      <c r="Y104" s="254">
        <f>'13'!AR112</f>
        <v>0</v>
      </c>
      <c r="Z104" s="268">
        <v>0</v>
      </c>
      <c r="AA104" s="254">
        <v>0</v>
      </c>
      <c r="AB104" s="268">
        <v>0</v>
      </c>
      <c r="AC104" s="254">
        <v>0</v>
      </c>
      <c r="AD104" s="268">
        <v>0</v>
      </c>
      <c r="AE104" s="254">
        <v>0</v>
      </c>
      <c r="AF104" s="268">
        <v>0</v>
      </c>
      <c r="AG104" s="254">
        <v>0</v>
      </c>
      <c r="AH104" s="268">
        <v>0</v>
      </c>
      <c r="AI104" s="254">
        <v>0</v>
      </c>
      <c r="AJ104" s="268">
        <v>0</v>
      </c>
      <c r="AK104" s="254">
        <v>0</v>
      </c>
      <c r="AL104" s="268">
        <v>0</v>
      </c>
      <c r="AM104" s="254">
        <v>0</v>
      </c>
      <c r="AN104" s="268">
        <v>0</v>
      </c>
      <c r="AO104" s="254">
        <v>0</v>
      </c>
      <c r="AP104" s="268">
        <v>0</v>
      </c>
      <c r="AQ104" s="254">
        <v>0</v>
      </c>
      <c r="AR104" s="268">
        <v>0</v>
      </c>
      <c r="AS104" s="254">
        <v>0</v>
      </c>
      <c r="AT104" s="268">
        <v>0</v>
      </c>
      <c r="AU104" s="254">
        <v>0</v>
      </c>
      <c r="AV104" s="268">
        <v>0</v>
      </c>
      <c r="AW104" s="254">
        <v>0</v>
      </c>
      <c r="AX104" s="268" t="s">
        <v>876</v>
      </c>
      <c r="AY104" s="254">
        <v>0</v>
      </c>
      <c r="AZ104" s="259">
        <f t="shared" si="0"/>
        <v>2.0750000000000002</v>
      </c>
      <c r="BA104" s="254">
        <f>'10'!H89</f>
        <v>2.0750000000000002</v>
      </c>
      <c r="BB104" s="268">
        <v>0</v>
      </c>
      <c r="BC104" s="254">
        <v>0</v>
      </c>
    </row>
    <row r="105" spans="1:55" s="273" customFormat="1" ht="47.25">
      <c r="A105" s="118" t="s">
        <v>963</v>
      </c>
      <c r="B105" s="141" t="s">
        <v>964</v>
      </c>
      <c r="C105" s="119" t="s">
        <v>965</v>
      </c>
      <c r="D105" s="255">
        <v>0</v>
      </c>
      <c r="E105" s="254">
        <v>0</v>
      </c>
      <c r="F105" s="268">
        <v>0</v>
      </c>
      <c r="G105" s="254">
        <v>0</v>
      </c>
      <c r="H105" s="268">
        <v>0</v>
      </c>
      <c r="I105" s="254">
        <v>0</v>
      </c>
      <c r="J105" s="268">
        <v>0</v>
      </c>
      <c r="K105" s="254">
        <v>0</v>
      </c>
      <c r="L105" s="268">
        <v>0</v>
      </c>
      <c r="M105" s="254">
        <v>0</v>
      </c>
      <c r="N105" s="268">
        <v>0</v>
      </c>
      <c r="O105" s="254">
        <v>0</v>
      </c>
      <c r="P105" s="268">
        <v>0</v>
      </c>
      <c r="Q105" s="254">
        <v>0</v>
      </c>
      <c r="R105" s="268">
        <v>0</v>
      </c>
      <c r="S105" s="254">
        <v>0</v>
      </c>
      <c r="T105" s="268">
        <v>0</v>
      </c>
      <c r="U105" s="254">
        <v>0</v>
      </c>
      <c r="V105" s="268">
        <v>0</v>
      </c>
      <c r="W105" s="254">
        <v>0</v>
      </c>
      <c r="X105" s="268">
        <v>0</v>
      </c>
      <c r="Y105" s="254">
        <f>'13'!AR113</f>
        <v>0</v>
      </c>
      <c r="Z105" s="268">
        <v>0</v>
      </c>
      <c r="AA105" s="254">
        <v>0</v>
      </c>
      <c r="AB105" s="268">
        <v>0</v>
      </c>
      <c r="AC105" s="254">
        <v>0</v>
      </c>
      <c r="AD105" s="268">
        <v>0</v>
      </c>
      <c r="AE105" s="254">
        <v>0</v>
      </c>
      <c r="AF105" s="268">
        <v>0</v>
      </c>
      <c r="AG105" s="254">
        <v>0</v>
      </c>
      <c r="AH105" s="268">
        <v>0</v>
      </c>
      <c r="AI105" s="254">
        <v>0</v>
      </c>
      <c r="AJ105" s="268">
        <v>0</v>
      </c>
      <c r="AK105" s="254">
        <v>0</v>
      </c>
      <c r="AL105" s="268">
        <v>0</v>
      </c>
      <c r="AM105" s="254">
        <v>0</v>
      </c>
      <c r="AN105" s="268">
        <v>0</v>
      </c>
      <c r="AO105" s="254">
        <v>0</v>
      </c>
      <c r="AP105" s="268">
        <v>0</v>
      </c>
      <c r="AQ105" s="254">
        <v>0</v>
      </c>
      <c r="AR105" s="268">
        <v>0</v>
      </c>
      <c r="AS105" s="254">
        <v>0</v>
      </c>
      <c r="AT105" s="268">
        <v>0</v>
      </c>
      <c r="AU105" s="254">
        <v>0</v>
      </c>
      <c r="AV105" s="268">
        <v>0</v>
      </c>
      <c r="AW105" s="254">
        <v>0</v>
      </c>
      <c r="AX105" s="268" t="s">
        <v>876</v>
      </c>
      <c r="AY105" s="254">
        <v>0</v>
      </c>
      <c r="AZ105" s="259">
        <f t="shared" si="0"/>
        <v>0.44499999999999995</v>
      </c>
      <c r="BA105" s="254">
        <f>'10'!H90</f>
        <v>0.44499999999999995</v>
      </c>
      <c r="BB105" s="268">
        <v>0</v>
      </c>
      <c r="BC105" s="254">
        <v>0</v>
      </c>
    </row>
    <row r="106" spans="1:55" s="273" customFormat="1" ht="47.25">
      <c r="A106" s="118" t="s">
        <v>966</v>
      </c>
      <c r="B106" s="141" t="s">
        <v>967</v>
      </c>
      <c r="C106" s="119" t="s">
        <v>968</v>
      </c>
      <c r="D106" s="255">
        <v>0</v>
      </c>
      <c r="E106" s="254">
        <v>0</v>
      </c>
      <c r="F106" s="268">
        <v>0</v>
      </c>
      <c r="G106" s="254">
        <v>0</v>
      </c>
      <c r="H106" s="268">
        <v>0</v>
      </c>
      <c r="I106" s="254">
        <v>0</v>
      </c>
      <c r="J106" s="268">
        <v>0</v>
      </c>
      <c r="K106" s="254">
        <v>0</v>
      </c>
      <c r="L106" s="268">
        <v>0</v>
      </c>
      <c r="M106" s="254">
        <v>0</v>
      </c>
      <c r="N106" s="268">
        <v>0</v>
      </c>
      <c r="O106" s="254">
        <v>0</v>
      </c>
      <c r="P106" s="268">
        <v>0</v>
      </c>
      <c r="Q106" s="254">
        <v>0</v>
      </c>
      <c r="R106" s="268">
        <v>0</v>
      </c>
      <c r="S106" s="254">
        <v>0</v>
      </c>
      <c r="T106" s="268">
        <v>0</v>
      </c>
      <c r="U106" s="254">
        <v>0</v>
      </c>
      <c r="V106" s="268">
        <v>0</v>
      </c>
      <c r="W106" s="254">
        <v>0</v>
      </c>
      <c r="X106" s="268">
        <v>0</v>
      </c>
      <c r="Y106" s="254">
        <f>'13'!AR114</f>
        <v>0</v>
      </c>
      <c r="Z106" s="268">
        <v>0</v>
      </c>
      <c r="AA106" s="254">
        <v>0</v>
      </c>
      <c r="AB106" s="268">
        <v>0</v>
      </c>
      <c r="AC106" s="254">
        <v>0</v>
      </c>
      <c r="AD106" s="268">
        <v>0</v>
      </c>
      <c r="AE106" s="254">
        <v>0</v>
      </c>
      <c r="AF106" s="268">
        <v>0</v>
      </c>
      <c r="AG106" s="254">
        <v>0</v>
      </c>
      <c r="AH106" s="268">
        <v>0</v>
      </c>
      <c r="AI106" s="254">
        <v>0</v>
      </c>
      <c r="AJ106" s="268">
        <v>0</v>
      </c>
      <c r="AK106" s="254">
        <v>0</v>
      </c>
      <c r="AL106" s="268">
        <v>0</v>
      </c>
      <c r="AM106" s="254">
        <v>0</v>
      </c>
      <c r="AN106" s="268">
        <v>0</v>
      </c>
      <c r="AO106" s="254">
        <v>0</v>
      </c>
      <c r="AP106" s="268">
        <v>0</v>
      </c>
      <c r="AQ106" s="254">
        <v>0</v>
      </c>
      <c r="AR106" s="268">
        <v>0</v>
      </c>
      <c r="AS106" s="254">
        <v>0</v>
      </c>
      <c r="AT106" s="268">
        <v>0</v>
      </c>
      <c r="AU106" s="254">
        <v>0</v>
      </c>
      <c r="AV106" s="268">
        <v>0</v>
      </c>
      <c r="AW106" s="254">
        <v>0</v>
      </c>
      <c r="AX106" s="268" t="s">
        <v>876</v>
      </c>
      <c r="AY106" s="254">
        <v>0</v>
      </c>
      <c r="AZ106" s="259">
        <f t="shared" si="0"/>
        <v>3.9949999999999997</v>
      </c>
      <c r="BA106" s="254">
        <f>'10'!H91</f>
        <v>3.9949999999999997</v>
      </c>
      <c r="BB106" s="268">
        <v>0</v>
      </c>
      <c r="BC106" s="254">
        <v>0</v>
      </c>
    </row>
    <row r="107" spans="1:55" s="273" customFormat="1" ht="63">
      <c r="A107" s="118" t="s">
        <v>969</v>
      </c>
      <c r="B107" s="141" t="s">
        <v>970</v>
      </c>
      <c r="C107" s="119" t="s">
        <v>971</v>
      </c>
      <c r="D107" s="255">
        <v>0</v>
      </c>
      <c r="E107" s="254">
        <v>0</v>
      </c>
      <c r="F107" s="268">
        <v>0</v>
      </c>
      <c r="G107" s="254">
        <v>0</v>
      </c>
      <c r="H107" s="268">
        <v>0</v>
      </c>
      <c r="I107" s="254">
        <v>0</v>
      </c>
      <c r="J107" s="268">
        <v>0</v>
      </c>
      <c r="K107" s="254">
        <v>0</v>
      </c>
      <c r="L107" s="268">
        <v>0</v>
      </c>
      <c r="M107" s="254">
        <v>0</v>
      </c>
      <c r="N107" s="268">
        <v>0</v>
      </c>
      <c r="O107" s="254">
        <v>0</v>
      </c>
      <c r="P107" s="268">
        <v>0</v>
      </c>
      <c r="Q107" s="254">
        <v>0</v>
      </c>
      <c r="R107" s="268">
        <v>0</v>
      </c>
      <c r="S107" s="254">
        <v>0</v>
      </c>
      <c r="T107" s="268">
        <v>0</v>
      </c>
      <c r="U107" s="254">
        <v>0</v>
      </c>
      <c r="V107" s="268">
        <v>0</v>
      </c>
      <c r="W107" s="254">
        <v>0</v>
      </c>
      <c r="X107" s="268">
        <v>0</v>
      </c>
      <c r="Y107" s="254">
        <f>'13'!AR115</f>
        <v>0</v>
      </c>
      <c r="Z107" s="268">
        <v>0</v>
      </c>
      <c r="AA107" s="254">
        <v>0</v>
      </c>
      <c r="AB107" s="268">
        <v>0</v>
      </c>
      <c r="AC107" s="254">
        <v>0</v>
      </c>
      <c r="AD107" s="268">
        <v>0</v>
      </c>
      <c r="AE107" s="254">
        <v>0</v>
      </c>
      <c r="AF107" s="268">
        <v>0</v>
      </c>
      <c r="AG107" s="254">
        <v>0</v>
      </c>
      <c r="AH107" s="268">
        <v>0</v>
      </c>
      <c r="AI107" s="254">
        <v>0</v>
      </c>
      <c r="AJ107" s="268">
        <v>0</v>
      </c>
      <c r="AK107" s="254">
        <v>0</v>
      </c>
      <c r="AL107" s="268">
        <v>0</v>
      </c>
      <c r="AM107" s="254">
        <v>0</v>
      </c>
      <c r="AN107" s="268">
        <v>0</v>
      </c>
      <c r="AO107" s="254">
        <v>0</v>
      </c>
      <c r="AP107" s="268">
        <v>0</v>
      </c>
      <c r="AQ107" s="254">
        <v>0</v>
      </c>
      <c r="AR107" s="268">
        <v>0</v>
      </c>
      <c r="AS107" s="254">
        <v>0</v>
      </c>
      <c r="AT107" s="268">
        <v>0</v>
      </c>
      <c r="AU107" s="254">
        <v>0</v>
      </c>
      <c r="AV107" s="268">
        <v>0</v>
      </c>
      <c r="AW107" s="254">
        <v>0</v>
      </c>
      <c r="AX107" s="268" t="s">
        <v>876</v>
      </c>
      <c r="AY107" s="254">
        <v>0</v>
      </c>
      <c r="AZ107" s="259">
        <f t="shared" si="0"/>
        <v>1.59</v>
      </c>
      <c r="BA107" s="254">
        <f>'10'!H92</f>
        <v>1.59</v>
      </c>
      <c r="BB107" s="268">
        <v>0</v>
      </c>
      <c r="BC107" s="254">
        <v>0</v>
      </c>
    </row>
  </sheetData>
  <autoFilter ref="A24:BK24"/>
  <mergeCells count="54">
    <mergeCell ref="A18:A23"/>
    <mergeCell ref="B18:B23"/>
    <mergeCell ref="C18:C23"/>
    <mergeCell ref="D18:BC18"/>
    <mergeCell ref="AH20:AI20"/>
    <mergeCell ref="AJ20:AK20"/>
    <mergeCell ref="AL20:AM20"/>
    <mergeCell ref="AH19:AM19"/>
    <mergeCell ref="T20:U20"/>
    <mergeCell ref="V20:Y20"/>
    <mergeCell ref="Z20:AC20"/>
    <mergeCell ref="AN19:AQ19"/>
    <mergeCell ref="AN20:AO20"/>
    <mergeCell ref="AP20:AQ20"/>
    <mergeCell ref="D20:E20"/>
    <mergeCell ref="F20:G20"/>
    <mergeCell ref="A6:AP6"/>
    <mergeCell ref="A7:AP7"/>
    <mergeCell ref="A8:AP8"/>
    <mergeCell ref="A10:AP10"/>
    <mergeCell ref="A12:AP12"/>
    <mergeCell ref="A14:AP14"/>
    <mergeCell ref="A15:AP15"/>
    <mergeCell ref="BB20:BC20"/>
    <mergeCell ref="AR19:AW19"/>
    <mergeCell ref="AR20:AS20"/>
    <mergeCell ref="AT20:AU20"/>
    <mergeCell ref="N20:O20"/>
    <mergeCell ref="P20:Q20"/>
    <mergeCell ref="R20:S20"/>
    <mergeCell ref="L20:M20"/>
    <mergeCell ref="D19:S19"/>
    <mergeCell ref="BB19:BC19"/>
    <mergeCell ref="AX19:BA19"/>
    <mergeCell ref="AX20:AY20"/>
    <mergeCell ref="AZ20:BA20"/>
    <mergeCell ref="AV20:AW20"/>
    <mergeCell ref="H20:K20"/>
    <mergeCell ref="H21:K21"/>
    <mergeCell ref="H22:I22"/>
    <mergeCell ref="AD20:AE20"/>
    <mergeCell ref="D21:E21"/>
    <mergeCell ref="D22:E22"/>
    <mergeCell ref="F21:G21"/>
    <mergeCell ref="F22:G22"/>
    <mergeCell ref="J22:K22"/>
    <mergeCell ref="T19:AG19"/>
    <mergeCell ref="Z21:AC21"/>
    <mergeCell ref="V21:Y21"/>
    <mergeCell ref="V22:W22"/>
    <mergeCell ref="X22:Y22"/>
    <mergeCell ref="AB22:AC22"/>
    <mergeCell ref="Z22:AA22"/>
    <mergeCell ref="AF20:AG20"/>
  </mergeCells>
  <pageMargins left="0.19685039370078741" right="0.19685039370078741" top="0.2" bottom="0.2" header="0.31496062992125984" footer="0.2"/>
  <pageSetup paperSize="9" scale="15" fitToHeight="2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T102"/>
  <sheetViews>
    <sheetView zoomScale="70" zoomScaleNormal="70" workbookViewId="0">
      <selection activeCell="N15" sqref="N15"/>
    </sheetView>
  </sheetViews>
  <sheetFormatPr defaultRowHeight="15.75"/>
  <cols>
    <col min="1" max="1" width="13.28515625" style="57" customWidth="1"/>
    <col min="2" max="2" width="26.140625" style="60" customWidth="1"/>
    <col min="3" max="3" width="14.85546875" style="60" customWidth="1"/>
    <col min="4" max="4" width="18.7109375" style="60" customWidth="1"/>
    <col min="5" max="5" width="14.85546875" style="60" customWidth="1"/>
    <col min="6" max="13" width="12.85546875" style="60" customWidth="1"/>
  </cols>
  <sheetData>
    <row r="1" spans="1:20">
      <c r="J1" s="57" t="s">
        <v>633</v>
      </c>
    </row>
    <row r="2" spans="1:20">
      <c r="J2" s="57" t="s">
        <v>23</v>
      </c>
    </row>
    <row r="3" spans="1:20">
      <c r="J3" s="57" t="s">
        <v>24</v>
      </c>
    </row>
    <row r="6" spans="1:20">
      <c r="A6" s="699" t="s">
        <v>634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</row>
    <row r="7" spans="1:20">
      <c r="A7" s="748" t="s">
        <v>635</v>
      </c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</row>
    <row r="8" spans="1:20">
      <c r="A8" s="699" t="s">
        <v>1189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</row>
    <row r="10" spans="1:20">
      <c r="A10" s="700" t="s">
        <v>727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59"/>
      <c r="O10" s="59"/>
      <c r="P10" s="59"/>
      <c r="Q10" s="59"/>
      <c r="R10" s="59"/>
      <c r="S10" s="59"/>
      <c r="T10" s="59"/>
    </row>
    <row r="12" spans="1:20">
      <c r="A12" s="697" t="s">
        <v>725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</row>
    <row r="14" spans="1:20">
      <c r="A14" s="697" t="s">
        <v>34</v>
      </c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</row>
    <row r="15" spans="1:20" ht="33" customHeight="1">
      <c r="A15" s="750" t="s">
        <v>1190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55"/>
      <c r="O15" s="55"/>
      <c r="P15" s="55"/>
      <c r="Q15" s="55"/>
      <c r="R15" s="55"/>
      <c r="S15" s="55"/>
      <c r="T15" s="55"/>
    </row>
    <row r="18" spans="1:13" s="65" customFormat="1" ht="172.5" customHeight="1">
      <c r="A18" s="695" t="s">
        <v>0</v>
      </c>
      <c r="B18" s="695" t="s">
        <v>1</v>
      </c>
      <c r="C18" s="695" t="s">
        <v>2</v>
      </c>
      <c r="D18" s="715" t="s">
        <v>113</v>
      </c>
      <c r="E18" s="695" t="s">
        <v>114</v>
      </c>
      <c r="F18" s="695" t="s">
        <v>115</v>
      </c>
      <c r="G18" s="695"/>
      <c r="H18" s="695" t="s">
        <v>116</v>
      </c>
      <c r="I18" s="695"/>
      <c r="J18" s="695" t="s">
        <v>117</v>
      </c>
      <c r="K18" s="695"/>
      <c r="L18" s="695" t="s">
        <v>636</v>
      </c>
      <c r="M18" s="695"/>
    </row>
    <row r="19" spans="1:13" s="65" customFormat="1" ht="70.5" customHeight="1">
      <c r="A19" s="695"/>
      <c r="B19" s="695"/>
      <c r="C19" s="695"/>
      <c r="D19" s="717"/>
      <c r="E19" s="695"/>
      <c r="F19" s="66" t="s">
        <v>1012</v>
      </c>
      <c r="G19" s="66" t="s">
        <v>637</v>
      </c>
      <c r="H19" s="66" t="s">
        <v>1013</v>
      </c>
      <c r="I19" s="66" t="s">
        <v>637</v>
      </c>
      <c r="J19" s="66" t="s">
        <v>1013</v>
      </c>
      <c r="K19" s="66" t="s">
        <v>637</v>
      </c>
      <c r="L19" s="66" t="s">
        <v>1013</v>
      </c>
      <c r="M19" s="66" t="s">
        <v>637</v>
      </c>
    </row>
    <row r="20" spans="1:13" s="65" customFormat="1">
      <c r="A20" s="66">
        <v>1</v>
      </c>
      <c r="B20" s="66">
        <v>2</v>
      </c>
      <c r="C20" s="66">
        <v>3</v>
      </c>
      <c r="D20" s="66">
        <v>4</v>
      </c>
      <c r="E20" s="66">
        <v>5</v>
      </c>
      <c r="F20" s="66">
        <v>6</v>
      </c>
      <c r="G20" s="66">
        <v>7</v>
      </c>
      <c r="H20" s="66">
        <v>8</v>
      </c>
      <c r="I20" s="66">
        <v>9</v>
      </c>
      <c r="J20" s="66">
        <v>10</v>
      </c>
      <c r="K20" s="66">
        <v>11</v>
      </c>
      <c r="L20" s="66">
        <v>12</v>
      </c>
      <c r="M20" s="66">
        <v>13</v>
      </c>
    </row>
    <row r="21" spans="1:13" s="65" customFormat="1" ht="63">
      <c r="A21" s="135">
        <v>0</v>
      </c>
      <c r="B21" s="132" t="s">
        <v>21</v>
      </c>
      <c r="C21" s="138" t="s">
        <v>876</v>
      </c>
      <c r="D21" s="67" t="s">
        <v>876</v>
      </c>
      <c r="E21" s="67" t="s">
        <v>876</v>
      </c>
      <c r="F21" s="67" t="s">
        <v>876</v>
      </c>
      <c r="G21" s="67" t="s">
        <v>876</v>
      </c>
      <c r="H21" s="67" t="s">
        <v>876</v>
      </c>
      <c r="I21" s="67" t="s">
        <v>876</v>
      </c>
      <c r="J21" s="67" t="s">
        <v>876</v>
      </c>
      <c r="K21" s="67" t="s">
        <v>876</v>
      </c>
      <c r="L21" s="67" t="s">
        <v>876</v>
      </c>
      <c r="M21" s="67" t="s">
        <v>876</v>
      </c>
    </row>
    <row r="22" spans="1:13" s="65" customFormat="1" ht="31.5">
      <c r="A22" s="135" t="s">
        <v>877</v>
      </c>
      <c r="B22" s="132" t="s">
        <v>878</v>
      </c>
      <c r="C22" s="138" t="s">
        <v>876</v>
      </c>
      <c r="D22" s="67" t="s">
        <v>876</v>
      </c>
      <c r="E22" s="67" t="s">
        <v>876</v>
      </c>
      <c r="F22" s="67" t="s">
        <v>876</v>
      </c>
      <c r="G22" s="67" t="s">
        <v>876</v>
      </c>
      <c r="H22" s="67" t="s">
        <v>876</v>
      </c>
      <c r="I22" s="67" t="s">
        <v>876</v>
      </c>
      <c r="J22" s="67" t="s">
        <v>876</v>
      </c>
      <c r="K22" s="67" t="s">
        <v>876</v>
      </c>
      <c r="L22" s="67" t="s">
        <v>876</v>
      </c>
      <c r="M22" s="67" t="s">
        <v>876</v>
      </c>
    </row>
    <row r="23" spans="1:13" s="65" customFormat="1" ht="63">
      <c r="A23" s="135" t="s">
        <v>879</v>
      </c>
      <c r="B23" s="132" t="s">
        <v>880</v>
      </c>
      <c r="C23" s="138" t="s">
        <v>876</v>
      </c>
      <c r="D23" s="67" t="s">
        <v>876</v>
      </c>
      <c r="E23" s="67" t="s">
        <v>876</v>
      </c>
      <c r="F23" s="67" t="s">
        <v>876</v>
      </c>
      <c r="G23" s="67" t="s">
        <v>876</v>
      </c>
      <c r="H23" s="67" t="s">
        <v>876</v>
      </c>
      <c r="I23" s="67" t="s">
        <v>876</v>
      </c>
      <c r="J23" s="67" t="s">
        <v>876</v>
      </c>
      <c r="K23" s="67" t="s">
        <v>876</v>
      </c>
      <c r="L23" s="67" t="s">
        <v>876</v>
      </c>
      <c r="M23" s="67" t="s">
        <v>876</v>
      </c>
    </row>
    <row r="24" spans="1:13" s="65" customFormat="1" ht="252">
      <c r="A24" s="135" t="s">
        <v>881</v>
      </c>
      <c r="B24" s="132" t="s">
        <v>882</v>
      </c>
      <c r="C24" s="138" t="s">
        <v>876</v>
      </c>
      <c r="D24" s="67" t="s">
        <v>876</v>
      </c>
      <c r="E24" s="67" t="s">
        <v>876</v>
      </c>
      <c r="F24" s="67" t="s">
        <v>876</v>
      </c>
      <c r="G24" s="67" t="s">
        <v>876</v>
      </c>
      <c r="H24" s="67" t="s">
        <v>876</v>
      </c>
      <c r="I24" s="67" t="s">
        <v>876</v>
      </c>
      <c r="J24" s="67" t="s">
        <v>876</v>
      </c>
      <c r="K24" s="67" t="s">
        <v>876</v>
      </c>
      <c r="L24" s="67" t="s">
        <v>876</v>
      </c>
      <c r="M24" s="67" t="s">
        <v>876</v>
      </c>
    </row>
    <row r="25" spans="1:13" s="65" customFormat="1" ht="78.75">
      <c r="A25" s="146" t="s">
        <v>883</v>
      </c>
      <c r="B25" s="144" t="s">
        <v>884</v>
      </c>
      <c r="C25" s="138" t="s">
        <v>876</v>
      </c>
      <c r="D25" s="67" t="s">
        <v>876</v>
      </c>
      <c r="E25" s="67" t="s">
        <v>876</v>
      </c>
      <c r="F25" s="67" t="s">
        <v>876</v>
      </c>
      <c r="G25" s="67" t="s">
        <v>876</v>
      </c>
      <c r="H25" s="67" t="s">
        <v>876</v>
      </c>
      <c r="I25" s="67" t="s">
        <v>876</v>
      </c>
      <c r="J25" s="67" t="s">
        <v>876</v>
      </c>
      <c r="K25" s="67" t="s">
        <v>876</v>
      </c>
      <c r="L25" s="67" t="s">
        <v>876</v>
      </c>
      <c r="M25" s="67" t="s">
        <v>876</v>
      </c>
    </row>
    <row r="26" spans="1:13" s="65" customFormat="1" ht="78.75">
      <c r="A26" s="146" t="s">
        <v>885</v>
      </c>
      <c r="B26" s="144" t="s">
        <v>886</v>
      </c>
      <c r="C26" s="138" t="s">
        <v>876</v>
      </c>
      <c r="D26" s="67" t="s">
        <v>876</v>
      </c>
      <c r="E26" s="67" t="s">
        <v>876</v>
      </c>
      <c r="F26" s="67" t="s">
        <v>876</v>
      </c>
      <c r="G26" s="67" t="s">
        <v>876</v>
      </c>
      <c r="H26" s="67" t="s">
        <v>876</v>
      </c>
      <c r="I26" s="67" t="s">
        <v>876</v>
      </c>
      <c r="J26" s="67" t="s">
        <v>876</v>
      </c>
      <c r="K26" s="67" t="s">
        <v>876</v>
      </c>
      <c r="L26" s="67" t="s">
        <v>876</v>
      </c>
      <c r="M26" s="67" t="s">
        <v>876</v>
      </c>
    </row>
    <row r="27" spans="1:13" s="65" customFormat="1" ht="47.25">
      <c r="A27" s="146" t="s">
        <v>887</v>
      </c>
      <c r="B27" s="144" t="s">
        <v>888</v>
      </c>
      <c r="C27" s="138" t="s">
        <v>876</v>
      </c>
      <c r="D27" s="67" t="s">
        <v>876</v>
      </c>
      <c r="E27" s="67" t="s">
        <v>876</v>
      </c>
      <c r="F27" s="67" t="s">
        <v>876</v>
      </c>
      <c r="G27" s="67" t="s">
        <v>876</v>
      </c>
      <c r="H27" s="67" t="s">
        <v>876</v>
      </c>
      <c r="I27" s="67" t="s">
        <v>876</v>
      </c>
      <c r="J27" s="67" t="s">
        <v>876</v>
      </c>
      <c r="K27" s="67" t="s">
        <v>876</v>
      </c>
      <c r="L27" s="67" t="s">
        <v>876</v>
      </c>
      <c r="M27" s="67" t="s">
        <v>876</v>
      </c>
    </row>
    <row r="28" spans="1:13" s="65" customFormat="1" ht="94.5">
      <c r="A28" s="118" t="s">
        <v>743</v>
      </c>
      <c r="B28" s="144" t="s">
        <v>889</v>
      </c>
      <c r="C28" s="125" t="s">
        <v>876</v>
      </c>
      <c r="D28" s="67" t="s">
        <v>876</v>
      </c>
      <c r="E28" s="67" t="s">
        <v>876</v>
      </c>
      <c r="F28" s="67" t="s">
        <v>876</v>
      </c>
      <c r="G28" s="67" t="s">
        <v>876</v>
      </c>
      <c r="H28" s="67" t="s">
        <v>876</v>
      </c>
      <c r="I28" s="67" t="s">
        <v>876</v>
      </c>
      <c r="J28" s="67" t="s">
        <v>876</v>
      </c>
      <c r="K28" s="67" t="s">
        <v>876</v>
      </c>
      <c r="L28" s="67" t="s">
        <v>876</v>
      </c>
      <c r="M28" s="67" t="s">
        <v>876</v>
      </c>
    </row>
    <row r="29" spans="1:13" s="65" customFormat="1" ht="126">
      <c r="A29" s="146" t="s">
        <v>387</v>
      </c>
      <c r="B29" s="144" t="s">
        <v>890</v>
      </c>
      <c r="C29" s="125" t="s">
        <v>876</v>
      </c>
      <c r="D29" s="67" t="s">
        <v>876</v>
      </c>
      <c r="E29" s="67" t="s">
        <v>876</v>
      </c>
      <c r="F29" s="67" t="s">
        <v>876</v>
      </c>
      <c r="G29" s="67" t="s">
        <v>876</v>
      </c>
      <c r="H29" s="67" t="s">
        <v>876</v>
      </c>
      <c r="I29" s="67" t="s">
        <v>876</v>
      </c>
      <c r="J29" s="67" t="s">
        <v>876</v>
      </c>
      <c r="K29" s="67" t="s">
        <v>876</v>
      </c>
      <c r="L29" s="67" t="s">
        <v>876</v>
      </c>
      <c r="M29" s="67" t="s">
        <v>876</v>
      </c>
    </row>
    <row r="30" spans="1:13" s="65" customFormat="1" ht="283.5">
      <c r="A30" s="123" t="s">
        <v>389</v>
      </c>
      <c r="B30" s="141" t="s">
        <v>891</v>
      </c>
      <c r="C30" s="119" t="s">
        <v>892</v>
      </c>
      <c r="D30" s="67" t="s">
        <v>876</v>
      </c>
      <c r="E30" s="67" t="s">
        <v>876</v>
      </c>
      <c r="F30" s="67" t="s">
        <v>876</v>
      </c>
      <c r="G30" s="67" t="s">
        <v>876</v>
      </c>
      <c r="H30" s="67" t="s">
        <v>876</v>
      </c>
      <c r="I30" s="67" t="s">
        <v>876</v>
      </c>
      <c r="J30" s="67" t="s">
        <v>876</v>
      </c>
      <c r="K30" s="67" t="s">
        <v>876</v>
      </c>
      <c r="L30" s="67" t="s">
        <v>876</v>
      </c>
      <c r="M30" s="67" t="s">
        <v>876</v>
      </c>
    </row>
    <row r="31" spans="1:13" s="65" customFormat="1" ht="94.5">
      <c r="A31" s="123" t="s">
        <v>1074</v>
      </c>
      <c r="B31" s="128" t="s">
        <v>1080</v>
      </c>
      <c r="C31" s="119" t="s">
        <v>876</v>
      </c>
      <c r="D31" s="67" t="s">
        <v>876</v>
      </c>
      <c r="E31" s="67" t="s">
        <v>876</v>
      </c>
      <c r="F31" s="67" t="s">
        <v>876</v>
      </c>
      <c r="G31" s="67" t="s">
        <v>876</v>
      </c>
      <c r="H31" s="67" t="s">
        <v>876</v>
      </c>
      <c r="I31" s="67" t="s">
        <v>876</v>
      </c>
      <c r="J31" s="67" t="s">
        <v>876</v>
      </c>
      <c r="K31" s="67" t="s">
        <v>876</v>
      </c>
      <c r="L31" s="67" t="s">
        <v>876</v>
      </c>
      <c r="M31" s="67" t="s">
        <v>876</v>
      </c>
    </row>
    <row r="32" spans="1:13" s="65" customFormat="1" ht="94.5">
      <c r="A32" s="123" t="s">
        <v>1075</v>
      </c>
      <c r="B32" s="128" t="s">
        <v>1081</v>
      </c>
      <c r="C32" s="119" t="s">
        <v>876</v>
      </c>
      <c r="D32" s="67" t="s">
        <v>876</v>
      </c>
      <c r="E32" s="67" t="s">
        <v>876</v>
      </c>
      <c r="F32" s="67" t="s">
        <v>876</v>
      </c>
      <c r="G32" s="67" t="s">
        <v>876</v>
      </c>
      <c r="H32" s="67" t="s">
        <v>876</v>
      </c>
      <c r="I32" s="67" t="s">
        <v>876</v>
      </c>
      <c r="J32" s="67" t="s">
        <v>876</v>
      </c>
      <c r="K32" s="67" t="s">
        <v>876</v>
      </c>
      <c r="L32" s="67" t="s">
        <v>876</v>
      </c>
      <c r="M32" s="67" t="s">
        <v>876</v>
      </c>
    </row>
    <row r="33" spans="1:13" s="65" customFormat="1" ht="94.5">
      <c r="A33" s="123" t="s">
        <v>1076</v>
      </c>
      <c r="B33" s="128" t="s">
        <v>1082</v>
      </c>
      <c r="C33" s="119" t="s">
        <v>876</v>
      </c>
      <c r="D33" s="67" t="s">
        <v>876</v>
      </c>
      <c r="E33" s="67" t="s">
        <v>876</v>
      </c>
      <c r="F33" s="67" t="s">
        <v>876</v>
      </c>
      <c r="G33" s="67" t="s">
        <v>876</v>
      </c>
      <c r="H33" s="67" t="s">
        <v>876</v>
      </c>
      <c r="I33" s="67" t="s">
        <v>876</v>
      </c>
      <c r="J33" s="67" t="s">
        <v>876</v>
      </c>
      <c r="K33" s="67" t="s">
        <v>876</v>
      </c>
      <c r="L33" s="67" t="s">
        <v>876</v>
      </c>
      <c r="M33" s="67" t="s">
        <v>876</v>
      </c>
    </row>
    <row r="34" spans="1:13" s="65" customFormat="1" ht="94.5">
      <c r="A34" s="123" t="s">
        <v>1077</v>
      </c>
      <c r="B34" s="128" t="s">
        <v>1083</v>
      </c>
      <c r="C34" s="119" t="s">
        <v>876</v>
      </c>
      <c r="D34" s="67" t="s">
        <v>876</v>
      </c>
      <c r="E34" s="67" t="s">
        <v>876</v>
      </c>
      <c r="F34" s="67" t="s">
        <v>876</v>
      </c>
      <c r="G34" s="67" t="s">
        <v>876</v>
      </c>
      <c r="H34" s="67" t="s">
        <v>876</v>
      </c>
      <c r="I34" s="67" t="s">
        <v>876</v>
      </c>
      <c r="J34" s="67" t="s">
        <v>876</v>
      </c>
      <c r="K34" s="67" t="s">
        <v>876</v>
      </c>
      <c r="L34" s="67" t="s">
        <v>876</v>
      </c>
      <c r="M34" s="67" t="s">
        <v>876</v>
      </c>
    </row>
    <row r="35" spans="1:13" s="65" customFormat="1" ht="63">
      <c r="A35" s="123" t="s">
        <v>1078</v>
      </c>
      <c r="B35" s="128" t="s">
        <v>1084</v>
      </c>
      <c r="C35" s="119" t="s">
        <v>876</v>
      </c>
      <c r="D35" s="67" t="s">
        <v>876</v>
      </c>
      <c r="E35" s="67" t="s">
        <v>876</v>
      </c>
      <c r="F35" s="67" t="s">
        <v>876</v>
      </c>
      <c r="G35" s="67" t="s">
        <v>876</v>
      </c>
      <c r="H35" s="67" t="s">
        <v>876</v>
      </c>
      <c r="I35" s="67" t="s">
        <v>876</v>
      </c>
      <c r="J35" s="67" t="s">
        <v>876</v>
      </c>
      <c r="K35" s="67" t="s">
        <v>876</v>
      </c>
      <c r="L35" s="67" t="s">
        <v>876</v>
      </c>
      <c r="M35" s="67" t="s">
        <v>876</v>
      </c>
    </row>
    <row r="36" spans="1:13" s="65" customFormat="1" ht="94.5">
      <c r="A36" s="123" t="s">
        <v>1079</v>
      </c>
      <c r="B36" s="128" t="s">
        <v>1085</v>
      </c>
      <c r="C36" s="119" t="s">
        <v>876</v>
      </c>
      <c r="D36" s="67" t="s">
        <v>876</v>
      </c>
      <c r="E36" s="67" t="s">
        <v>876</v>
      </c>
      <c r="F36" s="67" t="s">
        <v>876</v>
      </c>
      <c r="G36" s="67" t="s">
        <v>876</v>
      </c>
      <c r="H36" s="67" t="s">
        <v>876</v>
      </c>
      <c r="I36" s="67" t="s">
        <v>876</v>
      </c>
      <c r="J36" s="67" t="s">
        <v>876</v>
      </c>
      <c r="K36" s="67" t="s">
        <v>876</v>
      </c>
      <c r="L36" s="67" t="s">
        <v>876</v>
      </c>
      <c r="M36" s="67" t="s">
        <v>876</v>
      </c>
    </row>
    <row r="37" spans="1:13" s="65" customFormat="1" ht="126">
      <c r="A37" s="146" t="s">
        <v>392</v>
      </c>
      <c r="B37" s="144" t="s">
        <v>893</v>
      </c>
      <c r="C37" s="125" t="s">
        <v>876</v>
      </c>
      <c r="D37" s="67" t="s">
        <v>876</v>
      </c>
      <c r="E37" s="67" t="s">
        <v>876</v>
      </c>
      <c r="F37" s="67" t="s">
        <v>876</v>
      </c>
      <c r="G37" s="67" t="s">
        <v>876</v>
      </c>
      <c r="H37" s="67" t="s">
        <v>876</v>
      </c>
      <c r="I37" s="67" t="s">
        <v>876</v>
      </c>
      <c r="J37" s="67" t="s">
        <v>876</v>
      </c>
      <c r="K37" s="67" t="s">
        <v>876</v>
      </c>
      <c r="L37" s="67" t="s">
        <v>876</v>
      </c>
      <c r="M37" s="67" t="s">
        <v>876</v>
      </c>
    </row>
    <row r="38" spans="1:13" s="65" customFormat="1" ht="94.5">
      <c r="A38" s="123" t="s">
        <v>1094</v>
      </c>
      <c r="B38" s="141" t="s">
        <v>1095</v>
      </c>
      <c r="C38" s="125" t="s">
        <v>876</v>
      </c>
      <c r="D38" s="155" t="s">
        <v>876</v>
      </c>
      <c r="E38" s="155" t="s">
        <v>876</v>
      </c>
      <c r="F38" s="155" t="s">
        <v>876</v>
      </c>
      <c r="G38" s="155" t="s">
        <v>876</v>
      </c>
      <c r="H38" s="155" t="s">
        <v>876</v>
      </c>
      <c r="I38" s="155" t="s">
        <v>876</v>
      </c>
      <c r="J38" s="155" t="s">
        <v>876</v>
      </c>
      <c r="K38" s="155" t="s">
        <v>876</v>
      </c>
      <c r="L38" s="155" t="s">
        <v>876</v>
      </c>
      <c r="M38" s="155" t="s">
        <v>876</v>
      </c>
    </row>
    <row r="39" spans="1:13" s="65" customFormat="1" ht="94.5">
      <c r="A39" s="123" t="s">
        <v>1096</v>
      </c>
      <c r="B39" s="141" t="s">
        <v>1100</v>
      </c>
      <c r="C39" s="125" t="s">
        <v>876</v>
      </c>
      <c r="D39" s="155" t="s">
        <v>876</v>
      </c>
      <c r="E39" s="155" t="s">
        <v>876</v>
      </c>
      <c r="F39" s="155" t="s">
        <v>876</v>
      </c>
      <c r="G39" s="155" t="s">
        <v>876</v>
      </c>
      <c r="H39" s="155" t="s">
        <v>876</v>
      </c>
      <c r="I39" s="155" t="s">
        <v>876</v>
      </c>
      <c r="J39" s="155" t="s">
        <v>876</v>
      </c>
      <c r="K39" s="155" t="s">
        <v>876</v>
      </c>
      <c r="L39" s="155" t="s">
        <v>876</v>
      </c>
      <c r="M39" s="155" t="s">
        <v>876</v>
      </c>
    </row>
    <row r="40" spans="1:13" s="65" customFormat="1" ht="94.5">
      <c r="A40" s="123" t="s">
        <v>1097</v>
      </c>
      <c r="B40" s="141" t="s">
        <v>1101</v>
      </c>
      <c r="C40" s="125" t="s">
        <v>876</v>
      </c>
      <c r="D40" s="155" t="s">
        <v>876</v>
      </c>
      <c r="E40" s="155" t="s">
        <v>876</v>
      </c>
      <c r="F40" s="155" t="s">
        <v>876</v>
      </c>
      <c r="G40" s="155" t="s">
        <v>876</v>
      </c>
      <c r="H40" s="155" t="s">
        <v>876</v>
      </c>
      <c r="I40" s="155" t="s">
        <v>876</v>
      </c>
      <c r="J40" s="155" t="s">
        <v>876</v>
      </c>
      <c r="K40" s="155" t="s">
        <v>876</v>
      </c>
      <c r="L40" s="155" t="s">
        <v>876</v>
      </c>
      <c r="M40" s="155" t="s">
        <v>876</v>
      </c>
    </row>
    <row r="41" spans="1:13" s="65" customFormat="1" ht="94.5">
      <c r="A41" s="123" t="s">
        <v>1098</v>
      </c>
      <c r="B41" s="141" t="s">
        <v>1102</v>
      </c>
      <c r="C41" s="125" t="s">
        <v>876</v>
      </c>
      <c r="D41" s="155" t="s">
        <v>876</v>
      </c>
      <c r="E41" s="155" t="s">
        <v>876</v>
      </c>
      <c r="F41" s="155" t="s">
        <v>876</v>
      </c>
      <c r="G41" s="155" t="s">
        <v>876</v>
      </c>
      <c r="H41" s="155" t="s">
        <v>876</v>
      </c>
      <c r="I41" s="155" t="s">
        <v>876</v>
      </c>
      <c r="J41" s="155" t="s">
        <v>876</v>
      </c>
      <c r="K41" s="155" t="s">
        <v>876</v>
      </c>
      <c r="L41" s="155" t="s">
        <v>876</v>
      </c>
      <c r="M41" s="155" t="s">
        <v>876</v>
      </c>
    </row>
    <row r="42" spans="1:13" s="65" customFormat="1" ht="94.5">
      <c r="A42" s="123" t="s">
        <v>1099</v>
      </c>
      <c r="B42" s="141" t="s">
        <v>1103</v>
      </c>
      <c r="C42" s="125" t="s">
        <v>876</v>
      </c>
      <c r="D42" s="155" t="s">
        <v>876</v>
      </c>
      <c r="E42" s="155" t="s">
        <v>876</v>
      </c>
      <c r="F42" s="155" t="s">
        <v>876</v>
      </c>
      <c r="G42" s="155" t="s">
        <v>876</v>
      </c>
      <c r="H42" s="155" t="s">
        <v>876</v>
      </c>
      <c r="I42" s="155" t="s">
        <v>876</v>
      </c>
      <c r="J42" s="155" t="s">
        <v>876</v>
      </c>
      <c r="K42" s="155" t="s">
        <v>876</v>
      </c>
      <c r="L42" s="155" t="s">
        <v>876</v>
      </c>
      <c r="M42" s="155" t="s">
        <v>876</v>
      </c>
    </row>
    <row r="43" spans="1:13" s="65" customFormat="1" ht="110.25">
      <c r="A43" s="146" t="s">
        <v>394</v>
      </c>
      <c r="B43" s="144" t="s">
        <v>894</v>
      </c>
      <c r="C43" s="125" t="s">
        <v>876</v>
      </c>
      <c r="D43" s="67" t="s">
        <v>876</v>
      </c>
      <c r="E43" s="67" t="s">
        <v>876</v>
      </c>
      <c r="F43" s="67" t="s">
        <v>876</v>
      </c>
      <c r="G43" s="67" t="s">
        <v>876</v>
      </c>
      <c r="H43" s="67" t="s">
        <v>876</v>
      </c>
      <c r="I43" s="67" t="s">
        <v>876</v>
      </c>
      <c r="J43" s="67" t="s">
        <v>876</v>
      </c>
      <c r="K43" s="67" t="s">
        <v>876</v>
      </c>
      <c r="L43" s="67" t="s">
        <v>876</v>
      </c>
      <c r="M43" s="67" t="s">
        <v>876</v>
      </c>
    </row>
    <row r="44" spans="1:13" s="65" customFormat="1" ht="94.5">
      <c r="A44" s="118" t="s">
        <v>744</v>
      </c>
      <c r="B44" s="144" t="s">
        <v>895</v>
      </c>
      <c r="C44" s="125" t="s">
        <v>876</v>
      </c>
      <c r="D44" s="67" t="s">
        <v>876</v>
      </c>
      <c r="E44" s="67" t="s">
        <v>876</v>
      </c>
      <c r="F44" s="67" t="s">
        <v>876</v>
      </c>
      <c r="G44" s="67" t="s">
        <v>876</v>
      </c>
      <c r="H44" s="67" t="s">
        <v>876</v>
      </c>
      <c r="I44" s="67" t="s">
        <v>876</v>
      </c>
      <c r="J44" s="67" t="s">
        <v>876</v>
      </c>
      <c r="K44" s="67" t="s">
        <v>876</v>
      </c>
      <c r="L44" s="67" t="s">
        <v>876</v>
      </c>
      <c r="M44" s="67" t="s">
        <v>876</v>
      </c>
    </row>
    <row r="45" spans="1:13" s="65" customFormat="1" ht="141.75">
      <c r="A45" s="146" t="s">
        <v>415</v>
      </c>
      <c r="B45" s="144" t="s">
        <v>896</v>
      </c>
      <c r="C45" s="125" t="s">
        <v>876</v>
      </c>
      <c r="D45" s="67" t="s">
        <v>876</v>
      </c>
      <c r="E45" s="67" t="s">
        <v>876</v>
      </c>
      <c r="F45" s="67" t="s">
        <v>876</v>
      </c>
      <c r="G45" s="67" t="s">
        <v>876</v>
      </c>
      <c r="H45" s="67" t="s">
        <v>876</v>
      </c>
      <c r="I45" s="67" t="s">
        <v>876</v>
      </c>
      <c r="J45" s="67" t="s">
        <v>876</v>
      </c>
      <c r="K45" s="67" t="s">
        <v>876</v>
      </c>
      <c r="L45" s="67" t="s">
        <v>876</v>
      </c>
      <c r="M45" s="67" t="s">
        <v>876</v>
      </c>
    </row>
    <row r="46" spans="1:13" s="65" customFormat="1" ht="94.5">
      <c r="A46" s="146" t="s">
        <v>416</v>
      </c>
      <c r="B46" s="144" t="s">
        <v>897</v>
      </c>
      <c r="C46" s="125" t="s">
        <v>876</v>
      </c>
      <c r="D46" s="67" t="s">
        <v>876</v>
      </c>
      <c r="E46" s="67" t="s">
        <v>876</v>
      </c>
      <c r="F46" s="67" t="s">
        <v>876</v>
      </c>
      <c r="G46" s="67" t="s">
        <v>876</v>
      </c>
      <c r="H46" s="67" t="s">
        <v>876</v>
      </c>
      <c r="I46" s="67" t="s">
        <v>876</v>
      </c>
      <c r="J46" s="67" t="s">
        <v>876</v>
      </c>
      <c r="K46" s="67" t="s">
        <v>876</v>
      </c>
      <c r="L46" s="67" t="s">
        <v>876</v>
      </c>
      <c r="M46" s="67" t="s">
        <v>876</v>
      </c>
    </row>
    <row r="47" spans="1:13" s="65" customFormat="1" ht="110.25">
      <c r="A47" s="118" t="s">
        <v>745</v>
      </c>
      <c r="B47" s="144" t="s">
        <v>898</v>
      </c>
      <c r="C47" s="125" t="s">
        <v>876</v>
      </c>
      <c r="D47" s="67" t="s">
        <v>876</v>
      </c>
      <c r="E47" s="67" t="s">
        <v>876</v>
      </c>
      <c r="F47" s="67" t="s">
        <v>876</v>
      </c>
      <c r="G47" s="67" t="s">
        <v>876</v>
      </c>
      <c r="H47" s="67" t="s">
        <v>876</v>
      </c>
      <c r="I47" s="67" t="s">
        <v>876</v>
      </c>
      <c r="J47" s="67" t="s">
        <v>876</v>
      </c>
      <c r="K47" s="67" t="s">
        <v>876</v>
      </c>
      <c r="L47" s="67" t="s">
        <v>876</v>
      </c>
      <c r="M47" s="67" t="s">
        <v>876</v>
      </c>
    </row>
    <row r="48" spans="1:13" s="65" customFormat="1" ht="94.5">
      <c r="A48" s="146" t="s">
        <v>899</v>
      </c>
      <c r="B48" s="144" t="s">
        <v>900</v>
      </c>
      <c r="C48" s="125" t="s">
        <v>876</v>
      </c>
      <c r="D48" s="67" t="s">
        <v>876</v>
      </c>
      <c r="E48" s="67" t="s">
        <v>876</v>
      </c>
      <c r="F48" s="67" t="s">
        <v>876</v>
      </c>
      <c r="G48" s="67" t="s">
        <v>876</v>
      </c>
      <c r="H48" s="67" t="s">
        <v>876</v>
      </c>
      <c r="I48" s="67" t="s">
        <v>876</v>
      </c>
      <c r="J48" s="67" t="s">
        <v>876</v>
      </c>
      <c r="K48" s="67" t="s">
        <v>876</v>
      </c>
      <c r="L48" s="67" t="s">
        <v>876</v>
      </c>
      <c r="M48" s="67" t="s">
        <v>876</v>
      </c>
    </row>
    <row r="49" spans="1:13" s="65" customFormat="1" ht="252">
      <c r="A49" s="146" t="s">
        <v>899</v>
      </c>
      <c r="B49" s="144" t="s">
        <v>901</v>
      </c>
      <c r="C49" s="125" t="s">
        <v>876</v>
      </c>
      <c r="D49" s="67" t="s">
        <v>876</v>
      </c>
      <c r="E49" s="67" t="s">
        <v>876</v>
      </c>
      <c r="F49" s="67" t="s">
        <v>876</v>
      </c>
      <c r="G49" s="67" t="s">
        <v>876</v>
      </c>
      <c r="H49" s="67" t="s">
        <v>876</v>
      </c>
      <c r="I49" s="67" t="s">
        <v>876</v>
      </c>
      <c r="J49" s="67" t="s">
        <v>876</v>
      </c>
      <c r="K49" s="67" t="s">
        <v>876</v>
      </c>
      <c r="L49" s="67" t="s">
        <v>876</v>
      </c>
      <c r="M49" s="67" t="s">
        <v>876</v>
      </c>
    </row>
    <row r="50" spans="1:13" s="65" customFormat="1" ht="220.5">
      <c r="A50" s="146" t="s">
        <v>899</v>
      </c>
      <c r="B50" s="144" t="s">
        <v>902</v>
      </c>
      <c r="C50" s="125" t="s">
        <v>876</v>
      </c>
      <c r="D50" s="67" t="s">
        <v>876</v>
      </c>
      <c r="E50" s="67" t="s">
        <v>876</v>
      </c>
      <c r="F50" s="67" t="s">
        <v>876</v>
      </c>
      <c r="G50" s="67" t="s">
        <v>876</v>
      </c>
      <c r="H50" s="67" t="s">
        <v>876</v>
      </c>
      <c r="I50" s="67" t="s">
        <v>876</v>
      </c>
      <c r="J50" s="67" t="s">
        <v>876</v>
      </c>
      <c r="K50" s="67" t="s">
        <v>876</v>
      </c>
      <c r="L50" s="67" t="s">
        <v>876</v>
      </c>
      <c r="M50" s="67" t="s">
        <v>876</v>
      </c>
    </row>
    <row r="51" spans="1:13" s="65" customFormat="1" ht="220.5">
      <c r="A51" s="146" t="s">
        <v>899</v>
      </c>
      <c r="B51" s="144" t="s">
        <v>903</v>
      </c>
      <c r="C51" s="125" t="s">
        <v>876</v>
      </c>
      <c r="D51" s="67" t="s">
        <v>876</v>
      </c>
      <c r="E51" s="67" t="s">
        <v>876</v>
      </c>
      <c r="F51" s="67" t="s">
        <v>876</v>
      </c>
      <c r="G51" s="67" t="s">
        <v>876</v>
      </c>
      <c r="H51" s="67" t="s">
        <v>876</v>
      </c>
      <c r="I51" s="67" t="s">
        <v>876</v>
      </c>
      <c r="J51" s="67" t="s">
        <v>876</v>
      </c>
      <c r="K51" s="67" t="s">
        <v>876</v>
      </c>
      <c r="L51" s="67" t="s">
        <v>876</v>
      </c>
      <c r="M51" s="67" t="s">
        <v>876</v>
      </c>
    </row>
    <row r="52" spans="1:13" s="65" customFormat="1" ht="94.5">
      <c r="A52" s="146" t="s">
        <v>904</v>
      </c>
      <c r="B52" s="144" t="s">
        <v>900</v>
      </c>
      <c r="C52" s="125" t="s">
        <v>876</v>
      </c>
      <c r="D52" s="67" t="s">
        <v>876</v>
      </c>
      <c r="E52" s="67" t="s">
        <v>876</v>
      </c>
      <c r="F52" s="67" t="s">
        <v>876</v>
      </c>
      <c r="G52" s="67" t="s">
        <v>876</v>
      </c>
      <c r="H52" s="67" t="s">
        <v>876</v>
      </c>
      <c r="I52" s="67" t="s">
        <v>876</v>
      </c>
      <c r="J52" s="67" t="s">
        <v>876</v>
      </c>
      <c r="K52" s="67" t="s">
        <v>876</v>
      </c>
      <c r="L52" s="67" t="s">
        <v>876</v>
      </c>
      <c r="M52" s="67" t="s">
        <v>876</v>
      </c>
    </row>
    <row r="53" spans="1:13" s="65" customFormat="1" ht="252">
      <c r="A53" s="146" t="s">
        <v>904</v>
      </c>
      <c r="B53" s="144" t="s">
        <v>901</v>
      </c>
      <c r="C53" s="125" t="s">
        <v>876</v>
      </c>
      <c r="D53" s="67" t="s">
        <v>876</v>
      </c>
      <c r="E53" s="67" t="s">
        <v>876</v>
      </c>
      <c r="F53" s="67" t="s">
        <v>876</v>
      </c>
      <c r="G53" s="67" t="s">
        <v>876</v>
      </c>
      <c r="H53" s="67" t="s">
        <v>876</v>
      </c>
      <c r="I53" s="67" t="s">
        <v>876</v>
      </c>
      <c r="J53" s="67" t="s">
        <v>876</v>
      </c>
      <c r="K53" s="67" t="s">
        <v>876</v>
      </c>
      <c r="L53" s="67" t="s">
        <v>876</v>
      </c>
      <c r="M53" s="67" t="s">
        <v>876</v>
      </c>
    </row>
    <row r="54" spans="1:13" s="65" customFormat="1" ht="220.5">
      <c r="A54" s="146" t="s">
        <v>904</v>
      </c>
      <c r="B54" s="144" t="s">
        <v>902</v>
      </c>
      <c r="C54" s="125" t="s">
        <v>876</v>
      </c>
      <c r="D54" s="67" t="s">
        <v>876</v>
      </c>
      <c r="E54" s="67" t="s">
        <v>876</v>
      </c>
      <c r="F54" s="67" t="s">
        <v>876</v>
      </c>
      <c r="G54" s="67" t="s">
        <v>876</v>
      </c>
      <c r="H54" s="67" t="s">
        <v>876</v>
      </c>
      <c r="I54" s="67" t="s">
        <v>876</v>
      </c>
      <c r="J54" s="67" t="s">
        <v>876</v>
      </c>
      <c r="K54" s="67" t="s">
        <v>876</v>
      </c>
      <c r="L54" s="67" t="s">
        <v>876</v>
      </c>
      <c r="M54" s="67" t="s">
        <v>876</v>
      </c>
    </row>
    <row r="55" spans="1:13" s="65" customFormat="1" ht="220.5">
      <c r="A55" s="146" t="s">
        <v>904</v>
      </c>
      <c r="B55" s="144" t="s">
        <v>903</v>
      </c>
      <c r="C55" s="125" t="s">
        <v>876</v>
      </c>
      <c r="D55" s="67" t="s">
        <v>876</v>
      </c>
      <c r="E55" s="67" t="s">
        <v>876</v>
      </c>
      <c r="F55" s="67" t="s">
        <v>876</v>
      </c>
      <c r="G55" s="67" t="s">
        <v>876</v>
      </c>
      <c r="H55" s="67" t="s">
        <v>876</v>
      </c>
      <c r="I55" s="67" t="s">
        <v>876</v>
      </c>
      <c r="J55" s="67" t="s">
        <v>876</v>
      </c>
      <c r="K55" s="67" t="s">
        <v>876</v>
      </c>
      <c r="L55" s="67" t="s">
        <v>876</v>
      </c>
      <c r="M55" s="67" t="s">
        <v>876</v>
      </c>
    </row>
    <row r="56" spans="1:13" s="65" customFormat="1" ht="189">
      <c r="A56" s="118" t="s">
        <v>905</v>
      </c>
      <c r="B56" s="144" t="s">
        <v>906</v>
      </c>
      <c r="C56" s="125" t="s">
        <v>876</v>
      </c>
      <c r="D56" s="67" t="s">
        <v>876</v>
      </c>
      <c r="E56" s="67" t="s">
        <v>876</v>
      </c>
      <c r="F56" s="67" t="s">
        <v>876</v>
      </c>
      <c r="G56" s="67" t="s">
        <v>876</v>
      </c>
      <c r="H56" s="67" t="s">
        <v>876</v>
      </c>
      <c r="I56" s="67" t="s">
        <v>876</v>
      </c>
      <c r="J56" s="67" t="s">
        <v>876</v>
      </c>
      <c r="K56" s="67" t="s">
        <v>876</v>
      </c>
      <c r="L56" s="67" t="s">
        <v>876</v>
      </c>
      <c r="M56" s="67" t="s">
        <v>876</v>
      </c>
    </row>
    <row r="57" spans="1:13" s="65" customFormat="1" ht="220.5">
      <c r="A57" s="146" t="s">
        <v>907</v>
      </c>
      <c r="B57" s="144" t="s">
        <v>902</v>
      </c>
      <c r="C57" s="125" t="s">
        <v>876</v>
      </c>
      <c r="D57" s="67" t="s">
        <v>876</v>
      </c>
      <c r="E57" s="67" t="s">
        <v>876</v>
      </c>
      <c r="F57" s="67" t="s">
        <v>876</v>
      </c>
      <c r="G57" s="67" t="s">
        <v>876</v>
      </c>
      <c r="H57" s="67" t="s">
        <v>876</v>
      </c>
      <c r="I57" s="67" t="s">
        <v>876</v>
      </c>
      <c r="J57" s="67" t="s">
        <v>876</v>
      </c>
      <c r="K57" s="67" t="s">
        <v>876</v>
      </c>
      <c r="L57" s="67" t="s">
        <v>876</v>
      </c>
      <c r="M57" s="67" t="s">
        <v>876</v>
      </c>
    </row>
    <row r="58" spans="1:13" s="65" customFormat="1" ht="173.25">
      <c r="A58" s="146" t="s">
        <v>908</v>
      </c>
      <c r="B58" s="144" t="s">
        <v>909</v>
      </c>
      <c r="C58" s="125" t="s">
        <v>876</v>
      </c>
      <c r="D58" s="67" t="s">
        <v>876</v>
      </c>
      <c r="E58" s="67" t="s">
        <v>876</v>
      </c>
      <c r="F58" s="67" t="s">
        <v>876</v>
      </c>
      <c r="G58" s="67" t="s">
        <v>876</v>
      </c>
      <c r="H58" s="67" t="s">
        <v>876</v>
      </c>
      <c r="I58" s="67" t="s">
        <v>876</v>
      </c>
      <c r="J58" s="67" t="s">
        <v>876</v>
      </c>
      <c r="K58" s="67" t="s">
        <v>876</v>
      </c>
      <c r="L58" s="67" t="s">
        <v>876</v>
      </c>
      <c r="M58" s="67" t="s">
        <v>876</v>
      </c>
    </row>
    <row r="59" spans="1:13" s="65" customFormat="1" ht="78.75">
      <c r="A59" s="118" t="s">
        <v>910</v>
      </c>
      <c r="B59" s="144" t="s">
        <v>911</v>
      </c>
      <c r="C59" s="125" t="s">
        <v>876</v>
      </c>
      <c r="D59" s="67" t="s">
        <v>876</v>
      </c>
      <c r="E59" s="67" t="s">
        <v>876</v>
      </c>
      <c r="F59" s="67" t="s">
        <v>876</v>
      </c>
      <c r="G59" s="67" t="s">
        <v>876</v>
      </c>
      <c r="H59" s="67" t="s">
        <v>876</v>
      </c>
      <c r="I59" s="67" t="s">
        <v>876</v>
      </c>
      <c r="J59" s="67" t="s">
        <v>876</v>
      </c>
      <c r="K59" s="67" t="s">
        <v>876</v>
      </c>
      <c r="L59" s="67" t="s">
        <v>876</v>
      </c>
      <c r="M59" s="67" t="s">
        <v>876</v>
      </c>
    </row>
    <row r="60" spans="1:13" s="65" customFormat="1" ht="141.75">
      <c r="A60" s="118" t="s">
        <v>840</v>
      </c>
      <c r="B60" s="144" t="s">
        <v>912</v>
      </c>
      <c r="C60" s="125" t="s">
        <v>876</v>
      </c>
      <c r="D60" s="67" t="s">
        <v>876</v>
      </c>
      <c r="E60" s="67" t="s">
        <v>876</v>
      </c>
      <c r="F60" s="67" t="s">
        <v>876</v>
      </c>
      <c r="G60" s="67" t="s">
        <v>876</v>
      </c>
      <c r="H60" s="67" t="s">
        <v>876</v>
      </c>
      <c r="I60" s="67" t="s">
        <v>876</v>
      </c>
      <c r="J60" s="67" t="s">
        <v>876</v>
      </c>
      <c r="K60" s="67" t="s">
        <v>876</v>
      </c>
      <c r="L60" s="67" t="s">
        <v>876</v>
      </c>
      <c r="M60" s="67" t="s">
        <v>876</v>
      </c>
    </row>
    <row r="61" spans="1:13" s="65" customFormat="1" ht="63">
      <c r="A61" s="118" t="s">
        <v>421</v>
      </c>
      <c r="B61" s="144" t="s">
        <v>913</v>
      </c>
      <c r="C61" s="138" t="s">
        <v>876</v>
      </c>
      <c r="D61" s="67" t="s">
        <v>876</v>
      </c>
      <c r="E61" s="67" t="s">
        <v>876</v>
      </c>
      <c r="F61" s="67" t="s">
        <v>876</v>
      </c>
      <c r="G61" s="67" t="s">
        <v>876</v>
      </c>
      <c r="H61" s="67" t="s">
        <v>876</v>
      </c>
      <c r="I61" s="67" t="s">
        <v>876</v>
      </c>
      <c r="J61" s="67" t="s">
        <v>876</v>
      </c>
      <c r="K61" s="67" t="s">
        <v>876</v>
      </c>
      <c r="L61" s="67" t="s">
        <v>876</v>
      </c>
      <c r="M61" s="67" t="s">
        <v>876</v>
      </c>
    </row>
    <row r="62" spans="1:13" s="65" customFormat="1" ht="31.5">
      <c r="A62" s="137" t="s">
        <v>423</v>
      </c>
      <c r="B62" s="129" t="s">
        <v>1070</v>
      </c>
      <c r="C62" s="133" t="s">
        <v>1086</v>
      </c>
      <c r="D62" s="67" t="s">
        <v>876</v>
      </c>
      <c r="E62" s="67" t="s">
        <v>876</v>
      </c>
      <c r="F62" s="67" t="s">
        <v>876</v>
      </c>
      <c r="G62" s="67" t="s">
        <v>876</v>
      </c>
      <c r="H62" s="67" t="s">
        <v>876</v>
      </c>
      <c r="I62" s="67" t="s">
        <v>876</v>
      </c>
      <c r="J62" s="67" t="s">
        <v>876</v>
      </c>
      <c r="K62" s="67" t="s">
        <v>876</v>
      </c>
      <c r="L62" s="67" t="s">
        <v>876</v>
      </c>
      <c r="M62" s="67" t="s">
        <v>876</v>
      </c>
    </row>
    <row r="63" spans="1:13" s="65" customFormat="1">
      <c r="A63" s="137" t="s">
        <v>424</v>
      </c>
      <c r="B63" s="129" t="s">
        <v>1071</v>
      </c>
      <c r="C63" s="133" t="s">
        <v>1090</v>
      </c>
      <c r="D63" s="67" t="s">
        <v>876</v>
      </c>
      <c r="E63" s="67" t="s">
        <v>876</v>
      </c>
      <c r="F63" s="67" t="s">
        <v>876</v>
      </c>
      <c r="G63" s="67" t="s">
        <v>876</v>
      </c>
      <c r="H63" s="67" t="s">
        <v>876</v>
      </c>
      <c r="I63" s="67" t="s">
        <v>876</v>
      </c>
      <c r="J63" s="67" t="s">
        <v>876</v>
      </c>
      <c r="K63" s="67" t="s">
        <v>876</v>
      </c>
      <c r="L63" s="67" t="s">
        <v>876</v>
      </c>
      <c r="M63" s="67" t="s">
        <v>876</v>
      </c>
    </row>
    <row r="64" spans="1:13" s="65" customFormat="1" ht="126">
      <c r="A64" s="118" t="s">
        <v>426</v>
      </c>
      <c r="B64" s="144" t="s">
        <v>914</v>
      </c>
      <c r="C64" s="125" t="s">
        <v>876</v>
      </c>
      <c r="D64" s="67" t="s">
        <v>876</v>
      </c>
      <c r="E64" s="67" t="s">
        <v>876</v>
      </c>
      <c r="F64" s="67" t="s">
        <v>876</v>
      </c>
      <c r="G64" s="67" t="s">
        <v>876</v>
      </c>
      <c r="H64" s="67" t="s">
        <v>876</v>
      </c>
      <c r="I64" s="67" t="s">
        <v>876</v>
      </c>
      <c r="J64" s="67" t="s">
        <v>876</v>
      </c>
      <c r="K64" s="67" t="s">
        <v>876</v>
      </c>
      <c r="L64" s="67" t="s">
        <v>876</v>
      </c>
      <c r="M64" s="67" t="s">
        <v>876</v>
      </c>
    </row>
    <row r="65" spans="1:13" s="65" customFormat="1" ht="94.5">
      <c r="A65" s="118" t="s">
        <v>841</v>
      </c>
      <c r="B65" s="144" t="s">
        <v>915</v>
      </c>
      <c r="C65" s="125" t="s">
        <v>876</v>
      </c>
      <c r="D65" s="67" t="s">
        <v>876</v>
      </c>
      <c r="E65" s="67" t="s">
        <v>876</v>
      </c>
      <c r="F65" s="67" t="s">
        <v>876</v>
      </c>
      <c r="G65" s="67" t="s">
        <v>876</v>
      </c>
      <c r="H65" s="67" t="s">
        <v>876</v>
      </c>
      <c r="I65" s="67" t="s">
        <v>876</v>
      </c>
      <c r="J65" s="67" t="s">
        <v>876</v>
      </c>
      <c r="K65" s="67" t="s">
        <v>876</v>
      </c>
      <c r="L65" s="67" t="s">
        <v>876</v>
      </c>
      <c r="M65" s="67" t="s">
        <v>876</v>
      </c>
    </row>
    <row r="66" spans="1:13" s="65" customFormat="1" ht="47.25">
      <c r="A66" s="118" t="s">
        <v>916</v>
      </c>
      <c r="B66" s="144" t="s">
        <v>917</v>
      </c>
      <c r="C66" s="138" t="s">
        <v>876</v>
      </c>
      <c r="D66" s="67" t="s">
        <v>876</v>
      </c>
      <c r="E66" s="67" t="s">
        <v>876</v>
      </c>
      <c r="F66" s="67" t="s">
        <v>876</v>
      </c>
      <c r="G66" s="67" t="s">
        <v>876</v>
      </c>
      <c r="H66" s="67" t="s">
        <v>876</v>
      </c>
      <c r="I66" s="67" t="s">
        <v>876</v>
      </c>
      <c r="J66" s="67" t="s">
        <v>876</v>
      </c>
      <c r="K66" s="67" t="s">
        <v>876</v>
      </c>
      <c r="L66" s="67" t="s">
        <v>876</v>
      </c>
      <c r="M66" s="67" t="s">
        <v>876</v>
      </c>
    </row>
    <row r="67" spans="1:13" s="65" customFormat="1" ht="173.25">
      <c r="A67" s="137" t="s">
        <v>916</v>
      </c>
      <c r="B67" s="131" t="s">
        <v>918</v>
      </c>
      <c r="C67" s="119" t="s">
        <v>919</v>
      </c>
      <c r="D67" s="67" t="s">
        <v>876</v>
      </c>
      <c r="E67" s="67" t="s">
        <v>876</v>
      </c>
      <c r="F67" s="67" t="s">
        <v>876</v>
      </c>
      <c r="G67" s="67" t="s">
        <v>876</v>
      </c>
      <c r="H67" s="67" t="s">
        <v>876</v>
      </c>
      <c r="I67" s="67" t="s">
        <v>876</v>
      </c>
      <c r="J67" s="67" t="s">
        <v>876</v>
      </c>
      <c r="K67" s="67" t="s">
        <v>876</v>
      </c>
      <c r="L67" s="67" t="s">
        <v>876</v>
      </c>
      <c r="M67" s="67" t="s">
        <v>876</v>
      </c>
    </row>
    <row r="68" spans="1:13" s="65" customFormat="1" ht="126">
      <c r="A68" s="137" t="s">
        <v>916</v>
      </c>
      <c r="B68" s="131" t="s">
        <v>920</v>
      </c>
      <c r="C68" s="119" t="s">
        <v>921</v>
      </c>
      <c r="D68" s="67" t="s">
        <v>876</v>
      </c>
      <c r="E68" s="67" t="s">
        <v>876</v>
      </c>
      <c r="F68" s="67" t="s">
        <v>876</v>
      </c>
      <c r="G68" s="67" t="s">
        <v>876</v>
      </c>
      <c r="H68" s="67" t="s">
        <v>876</v>
      </c>
      <c r="I68" s="67" t="s">
        <v>876</v>
      </c>
      <c r="J68" s="67" t="s">
        <v>876</v>
      </c>
      <c r="K68" s="67" t="s">
        <v>876</v>
      </c>
      <c r="L68" s="67" t="s">
        <v>876</v>
      </c>
      <c r="M68" s="67" t="s">
        <v>876</v>
      </c>
    </row>
    <row r="69" spans="1:13" s="65" customFormat="1" ht="94.5">
      <c r="A69" s="137" t="s">
        <v>916</v>
      </c>
      <c r="B69" s="131" t="s">
        <v>922</v>
      </c>
      <c r="C69" s="119" t="s">
        <v>923</v>
      </c>
      <c r="D69" s="67" t="s">
        <v>876</v>
      </c>
      <c r="E69" s="67" t="s">
        <v>876</v>
      </c>
      <c r="F69" s="67" t="s">
        <v>876</v>
      </c>
      <c r="G69" s="67" t="s">
        <v>876</v>
      </c>
      <c r="H69" s="67" t="s">
        <v>876</v>
      </c>
      <c r="I69" s="67" t="s">
        <v>876</v>
      </c>
      <c r="J69" s="67" t="s">
        <v>876</v>
      </c>
      <c r="K69" s="67" t="s">
        <v>876</v>
      </c>
      <c r="L69" s="67" t="s">
        <v>876</v>
      </c>
      <c r="M69" s="67" t="s">
        <v>876</v>
      </c>
    </row>
    <row r="70" spans="1:13" s="65" customFormat="1" ht="173.25">
      <c r="A70" s="137" t="s">
        <v>916</v>
      </c>
      <c r="B70" s="131" t="s">
        <v>1089</v>
      </c>
      <c r="C70" s="119" t="s">
        <v>924</v>
      </c>
      <c r="D70" s="67" t="s">
        <v>876</v>
      </c>
      <c r="E70" s="67" t="s">
        <v>876</v>
      </c>
      <c r="F70" s="67" t="s">
        <v>876</v>
      </c>
      <c r="G70" s="67" t="s">
        <v>876</v>
      </c>
      <c r="H70" s="67" t="s">
        <v>876</v>
      </c>
      <c r="I70" s="67" t="s">
        <v>876</v>
      </c>
      <c r="J70" s="67" t="s">
        <v>876</v>
      </c>
      <c r="K70" s="67" t="s">
        <v>876</v>
      </c>
      <c r="L70" s="67" t="s">
        <v>876</v>
      </c>
      <c r="M70" s="67" t="s">
        <v>876</v>
      </c>
    </row>
    <row r="71" spans="1:13" s="65" customFormat="1" ht="63">
      <c r="A71" s="137" t="s">
        <v>916</v>
      </c>
      <c r="B71" s="149" t="s">
        <v>1069</v>
      </c>
      <c r="C71" s="121" t="s">
        <v>1093</v>
      </c>
      <c r="D71" s="67" t="s">
        <v>876</v>
      </c>
      <c r="E71" s="67" t="s">
        <v>876</v>
      </c>
      <c r="F71" s="67" t="s">
        <v>876</v>
      </c>
      <c r="G71" s="67" t="s">
        <v>876</v>
      </c>
      <c r="H71" s="67" t="s">
        <v>876</v>
      </c>
      <c r="I71" s="67" t="s">
        <v>876</v>
      </c>
      <c r="J71" s="67" t="s">
        <v>876</v>
      </c>
      <c r="K71" s="67" t="s">
        <v>876</v>
      </c>
      <c r="L71" s="67" t="s">
        <v>876</v>
      </c>
      <c r="M71" s="67" t="s">
        <v>876</v>
      </c>
    </row>
    <row r="72" spans="1:13" s="65" customFormat="1" ht="78.75">
      <c r="A72" s="146" t="s">
        <v>925</v>
      </c>
      <c r="B72" s="144" t="s">
        <v>926</v>
      </c>
      <c r="C72" s="125" t="s">
        <v>876</v>
      </c>
      <c r="D72" s="67" t="s">
        <v>876</v>
      </c>
      <c r="E72" s="67" t="s">
        <v>876</v>
      </c>
      <c r="F72" s="67" t="s">
        <v>876</v>
      </c>
      <c r="G72" s="67" t="s">
        <v>876</v>
      </c>
      <c r="H72" s="67" t="s">
        <v>876</v>
      </c>
      <c r="I72" s="67" t="s">
        <v>876</v>
      </c>
      <c r="J72" s="67" t="s">
        <v>876</v>
      </c>
      <c r="K72" s="67" t="s">
        <v>876</v>
      </c>
      <c r="L72" s="67" t="s">
        <v>876</v>
      </c>
      <c r="M72" s="67" t="s">
        <v>876</v>
      </c>
    </row>
    <row r="73" spans="1:13" s="65" customFormat="1" ht="78.75">
      <c r="A73" s="118" t="s">
        <v>842</v>
      </c>
      <c r="B73" s="144" t="s">
        <v>927</v>
      </c>
      <c r="C73" s="125" t="s">
        <v>876</v>
      </c>
      <c r="D73" s="67" t="s">
        <v>876</v>
      </c>
      <c r="E73" s="67" t="s">
        <v>876</v>
      </c>
      <c r="F73" s="67" t="s">
        <v>876</v>
      </c>
      <c r="G73" s="67" t="s">
        <v>876</v>
      </c>
      <c r="H73" s="67" t="s">
        <v>876</v>
      </c>
      <c r="I73" s="67" t="s">
        <v>876</v>
      </c>
      <c r="J73" s="67" t="s">
        <v>876</v>
      </c>
      <c r="K73" s="67" t="s">
        <v>876</v>
      </c>
      <c r="L73" s="67" t="s">
        <v>876</v>
      </c>
      <c r="M73" s="67" t="s">
        <v>876</v>
      </c>
    </row>
    <row r="74" spans="1:13" s="65" customFormat="1" ht="78.75">
      <c r="A74" s="146" t="s">
        <v>436</v>
      </c>
      <c r="B74" s="144" t="s">
        <v>928</v>
      </c>
      <c r="C74" s="125" t="s">
        <v>876</v>
      </c>
      <c r="D74" s="67" t="s">
        <v>876</v>
      </c>
      <c r="E74" s="67" t="s">
        <v>876</v>
      </c>
      <c r="F74" s="67" t="s">
        <v>876</v>
      </c>
      <c r="G74" s="67" t="s">
        <v>876</v>
      </c>
      <c r="H74" s="67" t="s">
        <v>876</v>
      </c>
      <c r="I74" s="67" t="s">
        <v>876</v>
      </c>
      <c r="J74" s="67" t="s">
        <v>876</v>
      </c>
      <c r="K74" s="67" t="s">
        <v>876</v>
      </c>
      <c r="L74" s="67" t="s">
        <v>876</v>
      </c>
      <c r="M74" s="67" t="s">
        <v>876</v>
      </c>
    </row>
    <row r="75" spans="1:13" s="65" customFormat="1" ht="63">
      <c r="A75" s="146" t="s">
        <v>440</v>
      </c>
      <c r="B75" s="144" t="s">
        <v>929</v>
      </c>
      <c r="C75" s="125" t="s">
        <v>876</v>
      </c>
      <c r="D75" s="67" t="s">
        <v>876</v>
      </c>
      <c r="E75" s="67" t="s">
        <v>876</v>
      </c>
      <c r="F75" s="67" t="s">
        <v>876</v>
      </c>
      <c r="G75" s="67" t="s">
        <v>876</v>
      </c>
      <c r="H75" s="67" t="s">
        <v>876</v>
      </c>
      <c r="I75" s="67" t="s">
        <v>876</v>
      </c>
      <c r="J75" s="67" t="s">
        <v>876</v>
      </c>
      <c r="K75" s="67" t="s">
        <v>876</v>
      </c>
      <c r="L75" s="67" t="s">
        <v>876</v>
      </c>
      <c r="M75" s="67" t="s">
        <v>876</v>
      </c>
    </row>
    <row r="76" spans="1:13" s="65" customFormat="1" ht="63">
      <c r="A76" s="146" t="s">
        <v>441</v>
      </c>
      <c r="B76" s="144" t="s">
        <v>930</v>
      </c>
      <c r="C76" s="125" t="s">
        <v>876</v>
      </c>
      <c r="D76" s="67" t="s">
        <v>876</v>
      </c>
      <c r="E76" s="67" t="s">
        <v>876</v>
      </c>
      <c r="F76" s="67" t="s">
        <v>876</v>
      </c>
      <c r="G76" s="67" t="s">
        <v>876</v>
      </c>
      <c r="H76" s="67" t="s">
        <v>876</v>
      </c>
      <c r="I76" s="67" t="s">
        <v>876</v>
      </c>
      <c r="J76" s="67" t="s">
        <v>876</v>
      </c>
      <c r="K76" s="67" t="s">
        <v>876</v>
      </c>
      <c r="L76" s="67" t="s">
        <v>876</v>
      </c>
      <c r="M76" s="67" t="s">
        <v>876</v>
      </c>
    </row>
    <row r="77" spans="1:13" s="65" customFormat="1" ht="78.75">
      <c r="A77" s="146" t="s">
        <v>442</v>
      </c>
      <c r="B77" s="144" t="s">
        <v>931</v>
      </c>
      <c r="C77" s="125" t="s">
        <v>876</v>
      </c>
      <c r="D77" s="67" t="s">
        <v>876</v>
      </c>
      <c r="E77" s="67" t="s">
        <v>876</v>
      </c>
      <c r="F77" s="67" t="s">
        <v>876</v>
      </c>
      <c r="G77" s="67" t="s">
        <v>876</v>
      </c>
      <c r="H77" s="67" t="s">
        <v>876</v>
      </c>
      <c r="I77" s="67" t="s">
        <v>876</v>
      </c>
      <c r="J77" s="67" t="s">
        <v>876</v>
      </c>
      <c r="K77" s="67" t="s">
        <v>876</v>
      </c>
      <c r="L77" s="67" t="s">
        <v>876</v>
      </c>
      <c r="M77" s="67" t="s">
        <v>876</v>
      </c>
    </row>
    <row r="78" spans="1:13" s="65" customFormat="1" ht="94.5">
      <c r="A78" s="146" t="s">
        <v>443</v>
      </c>
      <c r="B78" s="144" t="s">
        <v>932</v>
      </c>
      <c r="C78" s="125" t="s">
        <v>876</v>
      </c>
      <c r="D78" s="67" t="s">
        <v>876</v>
      </c>
      <c r="E78" s="67" t="s">
        <v>876</v>
      </c>
      <c r="F78" s="67" t="s">
        <v>876</v>
      </c>
      <c r="G78" s="67" t="s">
        <v>876</v>
      </c>
      <c r="H78" s="67" t="s">
        <v>876</v>
      </c>
      <c r="I78" s="67" t="s">
        <v>876</v>
      </c>
      <c r="J78" s="67" t="s">
        <v>876</v>
      </c>
      <c r="K78" s="67" t="s">
        <v>876</v>
      </c>
      <c r="L78" s="67" t="s">
        <v>876</v>
      </c>
      <c r="M78" s="67" t="s">
        <v>876</v>
      </c>
    </row>
    <row r="79" spans="1:13" s="65" customFormat="1" ht="94.5">
      <c r="A79" s="146" t="s">
        <v>444</v>
      </c>
      <c r="B79" s="144" t="s">
        <v>933</v>
      </c>
      <c r="C79" s="125" t="s">
        <v>876</v>
      </c>
      <c r="D79" s="67" t="s">
        <v>876</v>
      </c>
      <c r="E79" s="67" t="s">
        <v>876</v>
      </c>
      <c r="F79" s="67" t="s">
        <v>876</v>
      </c>
      <c r="G79" s="67" t="s">
        <v>876</v>
      </c>
      <c r="H79" s="67" t="s">
        <v>876</v>
      </c>
      <c r="I79" s="67" t="s">
        <v>876</v>
      </c>
      <c r="J79" s="67" t="s">
        <v>876</v>
      </c>
      <c r="K79" s="67" t="s">
        <v>876</v>
      </c>
      <c r="L79" s="67" t="s">
        <v>876</v>
      </c>
      <c r="M79" s="67" t="s">
        <v>876</v>
      </c>
    </row>
    <row r="80" spans="1:13" s="65" customFormat="1" ht="94.5">
      <c r="A80" s="146" t="s">
        <v>445</v>
      </c>
      <c r="B80" s="144" t="s">
        <v>934</v>
      </c>
      <c r="C80" s="125" t="s">
        <v>876</v>
      </c>
      <c r="D80" s="67" t="s">
        <v>876</v>
      </c>
      <c r="E80" s="67" t="s">
        <v>876</v>
      </c>
      <c r="F80" s="67" t="s">
        <v>876</v>
      </c>
      <c r="G80" s="67" t="s">
        <v>876</v>
      </c>
      <c r="H80" s="67" t="s">
        <v>876</v>
      </c>
      <c r="I80" s="67" t="s">
        <v>876</v>
      </c>
      <c r="J80" s="67" t="s">
        <v>876</v>
      </c>
      <c r="K80" s="67" t="s">
        <v>876</v>
      </c>
      <c r="L80" s="67" t="s">
        <v>876</v>
      </c>
      <c r="M80" s="67" t="s">
        <v>876</v>
      </c>
    </row>
    <row r="81" spans="1:13" s="65" customFormat="1" ht="94.5">
      <c r="A81" s="146" t="s">
        <v>935</v>
      </c>
      <c r="B81" s="144" t="s">
        <v>936</v>
      </c>
      <c r="C81" s="125" t="s">
        <v>876</v>
      </c>
      <c r="D81" s="67" t="s">
        <v>876</v>
      </c>
      <c r="E81" s="67" t="s">
        <v>876</v>
      </c>
      <c r="F81" s="67" t="s">
        <v>876</v>
      </c>
      <c r="G81" s="67" t="s">
        <v>876</v>
      </c>
      <c r="H81" s="67" t="s">
        <v>876</v>
      </c>
      <c r="I81" s="67" t="s">
        <v>876</v>
      </c>
      <c r="J81" s="67" t="s">
        <v>876</v>
      </c>
      <c r="K81" s="67" t="s">
        <v>876</v>
      </c>
      <c r="L81" s="67" t="s">
        <v>876</v>
      </c>
      <c r="M81" s="67" t="s">
        <v>876</v>
      </c>
    </row>
    <row r="82" spans="1:13" s="65" customFormat="1" ht="110.25">
      <c r="A82" s="118" t="s">
        <v>937</v>
      </c>
      <c r="B82" s="144" t="s">
        <v>938</v>
      </c>
      <c r="C82" s="125" t="s">
        <v>876</v>
      </c>
      <c r="D82" s="67" t="s">
        <v>876</v>
      </c>
      <c r="E82" s="67" t="s">
        <v>876</v>
      </c>
      <c r="F82" s="67" t="s">
        <v>876</v>
      </c>
      <c r="G82" s="67" t="s">
        <v>876</v>
      </c>
      <c r="H82" s="67" t="s">
        <v>876</v>
      </c>
      <c r="I82" s="67" t="s">
        <v>876</v>
      </c>
      <c r="J82" s="67" t="s">
        <v>876</v>
      </c>
      <c r="K82" s="67" t="s">
        <v>876</v>
      </c>
      <c r="L82" s="67" t="s">
        <v>876</v>
      </c>
      <c r="M82" s="67" t="s">
        <v>876</v>
      </c>
    </row>
    <row r="83" spans="1:13" s="65" customFormat="1" ht="63">
      <c r="A83" s="146" t="s">
        <v>939</v>
      </c>
      <c r="B83" s="144" t="s">
        <v>940</v>
      </c>
      <c r="C83" s="138" t="s">
        <v>876</v>
      </c>
      <c r="D83" s="67" t="s">
        <v>876</v>
      </c>
      <c r="E83" s="67" t="s">
        <v>876</v>
      </c>
      <c r="F83" s="67" t="s">
        <v>876</v>
      </c>
      <c r="G83" s="67" t="s">
        <v>876</v>
      </c>
      <c r="H83" s="67" t="s">
        <v>876</v>
      </c>
      <c r="I83" s="67" t="s">
        <v>876</v>
      </c>
      <c r="J83" s="67" t="s">
        <v>876</v>
      </c>
      <c r="K83" s="67" t="s">
        <v>876</v>
      </c>
      <c r="L83" s="67" t="s">
        <v>876</v>
      </c>
      <c r="M83" s="67" t="s">
        <v>876</v>
      </c>
    </row>
    <row r="84" spans="1:13" s="65" customFormat="1" ht="94.5">
      <c r="A84" s="146" t="s">
        <v>941</v>
      </c>
      <c r="B84" s="144" t="s">
        <v>942</v>
      </c>
      <c r="C84" s="125" t="s">
        <v>876</v>
      </c>
      <c r="D84" s="67" t="s">
        <v>876</v>
      </c>
      <c r="E84" s="67" t="s">
        <v>876</v>
      </c>
      <c r="F84" s="67" t="s">
        <v>876</v>
      </c>
      <c r="G84" s="67" t="s">
        <v>876</v>
      </c>
      <c r="H84" s="67" t="s">
        <v>876</v>
      </c>
      <c r="I84" s="67" t="s">
        <v>876</v>
      </c>
      <c r="J84" s="67" t="s">
        <v>876</v>
      </c>
      <c r="K84" s="67" t="s">
        <v>876</v>
      </c>
      <c r="L84" s="67" t="s">
        <v>876</v>
      </c>
      <c r="M84" s="67" t="s">
        <v>876</v>
      </c>
    </row>
    <row r="85" spans="1:13" s="65" customFormat="1" ht="252">
      <c r="A85" s="118" t="s">
        <v>943</v>
      </c>
      <c r="B85" s="144" t="s">
        <v>944</v>
      </c>
      <c r="C85" s="125" t="s">
        <v>876</v>
      </c>
      <c r="D85" s="67" t="s">
        <v>876</v>
      </c>
      <c r="E85" s="67" t="s">
        <v>876</v>
      </c>
      <c r="F85" s="67" t="s">
        <v>876</v>
      </c>
      <c r="G85" s="67" t="s">
        <v>876</v>
      </c>
      <c r="H85" s="67" t="s">
        <v>876</v>
      </c>
      <c r="I85" s="67" t="s">
        <v>876</v>
      </c>
      <c r="J85" s="67" t="s">
        <v>876</v>
      </c>
      <c r="K85" s="67" t="s">
        <v>876</v>
      </c>
      <c r="L85" s="67" t="s">
        <v>876</v>
      </c>
      <c r="M85" s="67" t="s">
        <v>876</v>
      </c>
    </row>
    <row r="86" spans="1:13" s="65" customFormat="1" ht="126">
      <c r="A86" s="118" t="s">
        <v>945</v>
      </c>
      <c r="B86" s="144" t="s">
        <v>946</v>
      </c>
      <c r="C86" s="125" t="s">
        <v>876</v>
      </c>
      <c r="D86" s="67" t="s">
        <v>876</v>
      </c>
      <c r="E86" s="67" t="s">
        <v>876</v>
      </c>
      <c r="F86" s="67" t="s">
        <v>876</v>
      </c>
      <c r="G86" s="67" t="s">
        <v>876</v>
      </c>
      <c r="H86" s="67" t="s">
        <v>876</v>
      </c>
      <c r="I86" s="67" t="s">
        <v>876</v>
      </c>
      <c r="J86" s="67" t="s">
        <v>876</v>
      </c>
      <c r="K86" s="67" t="s">
        <v>876</v>
      </c>
      <c r="L86" s="67" t="s">
        <v>876</v>
      </c>
      <c r="M86" s="67" t="s">
        <v>876</v>
      </c>
    </row>
    <row r="87" spans="1:13" s="65" customFormat="1" ht="126">
      <c r="A87" s="118" t="s">
        <v>947</v>
      </c>
      <c r="B87" s="144" t="s">
        <v>948</v>
      </c>
      <c r="C87" s="125" t="s">
        <v>876</v>
      </c>
      <c r="D87" s="67" t="s">
        <v>876</v>
      </c>
      <c r="E87" s="67" t="s">
        <v>876</v>
      </c>
      <c r="F87" s="67" t="s">
        <v>876</v>
      </c>
      <c r="G87" s="67" t="s">
        <v>876</v>
      </c>
      <c r="H87" s="67" t="s">
        <v>876</v>
      </c>
      <c r="I87" s="67" t="s">
        <v>876</v>
      </c>
      <c r="J87" s="67" t="s">
        <v>876</v>
      </c>
      <c r="K87" s="67" t="s">
        <v>876</v>
      </c>
      <c r="L87" s="67" t="s">
        <v>876</v>
      </c>
      <c r="M87" s="67" t="s">
        <v>876</v>
      </c>
    </row>
    <row r="88" spans="1:13" ht="78.75">
      <c r="A88" s="118" t="s">
        <v>949</v>
      </c>
      <c r="B88" s="144" t="s">
        <v>884</v>
      </c>
      <c r="C88" s="138" t="s">
        <v>876</v>
      </c>
      <c r="D88" s="67" t="s">
        <v>876</v>
      </c>
      <c r="E88" s="67" t="s">
        <v>876</v>
      </c>
      <c r="F88" s="67" t="s">
        <v>876</v>
      </c>
      <c r="G88" s="67" t="s">
        <v>876</v>
      </c>
      <c r="H88" s="67" t="s">
        <v>876</v>
      </c>
      <c r="I88" s="67" t="s">
        <v>876</v>
      </c>
      <c r="J88" s="67" t="s">
        <v>876</v>
      </c>
      <c r="K88" s="67" t="s">
        <v>876</v>
      </c>
      <c r="L88" s="67" t="s">
        <v>876</v>
      </c>
      <c r="M88" s="67" t="s">
        <v>876</v>
      </c>
    </row>
    <row r="89" spans="1:13" ht="94.5">
      <c r="A89" s="134" t="s">
        <v>843</v>
      </c>
      <c r="B89" s="147" t="s">
        <v>1072</v>
      </c>
      <c r="C89" s="130" t="s">
        <v>1088</v>
      </c>
      <c r="D89" s="67" t="s">
        <v>876</v>
      </c>
      <c r="E89" s="67" t="s">
        <v>876</v>
      </c>
      <c r="F89" s="67" t="s">
        <v>876</v>
      </c>
      <c r="G89" s="67" t="s">
        <v>876</v>
      </c>
      <c r="H89" s="67" t="s">
        <v>876</v>
      </c>
      <c r="I89" s="67" t="s">
        <v>876</v>
      </c>
      <c r="J89" s="67" t="s">
        <v>876</v>
      </c>
      <c r="K89" s="67" t="s">
        <v>876</v>
      </c>
      <c r="L89" s="67" t="s">
        <v>876</v>
      </c>
      <c r="M89" s="67" t="s">
        <v>876</v>
      </c>
    </row>
    <row r="90" spans="1:13" ht="78.75">
      <c r="A90" s="134" t="s">
        <v>844</v>
      </c>
      <c r="B90" s="147" t="s">
        <v>1073</v>
      </c>
      <c r="C90" s="130" t="s">
        <v>1087</v>
      </c>
      <c r="D90" s="67" t="s">
        <v>876</v>
      </c>
      <c r="E90" s="67" t="s">
        <v>876</v>
      </c>
      <c r="F90" s="67" t="s">
        <v>876</v>
      </c>
      <c r="G90" s="67" t="s">
        <v>876</v>
      </c>
      <c r="H90" s="67" t="s">
        <v>876</v>
      </c>
      <c r="I90" s="67" t="s">
        <v>876</v>
      </c>
      <c r="J90" s="67" t="s">
        <v>876</v>
      </c>
      <c r="K90" s="67" t="s">
        <v>876</v>
      </c>
      <c r="L90" s="67" t="s">
        <v>876</v>
      </c>
      <c r="M90" s="67" t="s">
        <v>876</v>
      </c>
    </row>
    <row r="91" spans="1:13" ht="94.5">
      <c r="A91" s="118" t="s">
        <v>950</v>
      </c>
      <c r="B91" s="144" t="s">
        <v>951</v>
      </c>
      <c r="C91" s="125" t="s">
        <v>876</v>
      </c>
      <c r="D91" s="67" t="s">
        <v>876</v>
      </c>
      <c r="E91" s="67" t="s">
        <v>876</v>
      </c>
      <c r="F91" s="67" t="s">
        <v>876</v>
      </c>
      <c r="G91" s="67" t="s">
        <v>876</v>
      </c>
      <c r="H91" s="67" t="s">
        <v>876</v>
      </c>
      <c r="I91" s="67" t="s">
        <v>876</v>
      </c>
      <c r="J91" s="67" t="s">
        <v>876</v>
      </c>
      <c r="K91" s="67" t="s">
        <v>876</v>
      </c>
      <c r="L91" s="67" t="s">
        <v>876</v>
      </c>
      <c r="M91" s="67" t="s">
        <v>876</v>
      </c>
    </row>
    <row r="92" spans="1:13" ht="63">
      <c r="A92" s="118" t="s">
        <v>952</v>
      </c>
      <c r="B92" s="144" t="s">
        <v>953</v>
      </c>
      <c r="C92" s="125" t="s">
        <v>876</v>
      </c>
      <c r="D92" s="115" t="s">
        <v>876</v>
      </c>
      <c r="E92" s="115" t="s">
        <v>876</v>
      </c>
      <c r="F92" s="115" t="s">
        <v>876</v>
      </c>
      <c r="G92" s="115" t="s">
        <v>876</v>
      </c>
      <c r="H92" s="115" t="s">
        <v>876</v>
      </c>
      <c r="I92" s="115" t="s">
        <v>876</v>
      </c>
      <c r="J92" s="115" t="s">
        <v>876</v>
      </c>
      <c r="K92" s="115" t="s">
        <v>876</v>
      </c>
      <c r="L92" s="115" t="s">
        <v>876</v>
      </c>
      <c r="M92" s="115" t="s">
        <v>876</v>
      </c>
    </row>
    <row r="93" spans="1:13" ht="31.5">
      <c r="A93" s="118" t="s">
        <v>952</v>
      </c>
      <c r="B93" s="144" t="s">
        <v>954</v>
      </c>
      <c r="C93" s="125" t="s">
        <v>876</v>
      </c>
      <c r="D93" s="115" t="s">
        <v>876</v>
      </c>
      <c r="E93" s="115" t="s">
        <v>876</v>
      </c>
      <c r="F93" s="115" t="s">
        <v>876</v>
      </c>
      <c r="G93" s="115" t="s">
        <v>876</v>
      </c>
      <c r="H93" s="115" t="s">
        <v>876</v>
      </c>
      <c r="I93" s="115" t="s">
        <v>876</v>
      </c>
      <c r="J93" s="115" t="s">
        <v>876</v>
      </c>
      <c r="K93" s="115" t="s">
        <v>876</v>
      </c>
      <c r="L93" s="115" t="s">
        <v>876</v>
      </c>
      <c r="M93" s="115" t="s">
        <v>876</v>
      </c>
    </row>
    <row r="94" spans="1:13" s="152" customFormat="1" ht="94.5">
      <c r="A94" s="118" t="s">
        <v>955</v>
      </c>
      <c r="B94" s="141" t="s">
        <v>956</v>
      </c>
      <c r="C94" s="119" t="s">
        <v>957</v>
      </c>
      <c r="D94" s="115" t="s">
        <v>876</v>
      </c>
      <c r="E94" s="115" t="s">
        <v>876</v>
      </c>
      <c r="F94" s="115" t="s">
        <v>876</v>
      </c>
      <c r="G94" s="115" t="s">
        <v>876</v>
      </c>
      <c r="H94" s="115" t="s">
        <v>876</v>
      </c>
      <c r="I94" s="115" t="s">
        <v>876</v>
      </c>
      <c r="J94" s="115" t="s">
        <v>876</v>
      </c>
      <c r="K94" s="115" t="s">
        <v>876</v>
      </c>
      <c r="L94" s="115" t="s">
        <v>876</v>
      </c>
      <c r="M94" s="115" t="s">
        <v>876</v>
      </c>
    </row>
    <row r="95" spans="1:13" s="152" customFormat="1" ht="63">
      <c r="A95" s="118" t="s">
        <v>958</v>
      </c>
      <c r="B95" s="141" t="s">
        <v>959</v>
      </c>
      <c r="C95" s="119" t="s">
        <v>876</v>
      </c>
      <c r="D95" s="115" t="s">
        <v>876</v>
      </c>
      <c r="E95" s="115" t="s">
        <v>876</v>
      </c>
      <c r="F95" s="115" t="s">
        <v>876</v>
      </c>
      <c r="G95" s="115" t="s">
        <v>876</v>
      </c>
      <c r="H95" s="115" t="s">
        <v>876</v>
      </c>
      <c r="I95" s="115" t="s">
        <v>876</v>
      </c>
      <c r="J95" s="115" t="s">
        <v>876</v>
      </c>
      <c r="K95" s="115" t="s">
        <v>876</v>
      </c>
      <c r="L95" s="115" t="s">
        <v>876</v>
      </c>
      <c r="M95" s="115" t="s">
        <v>876</v>
      </c>
    </row>
    <row r="96" spans="1:13" s="152" customFormat="1" ht="78.75">
      <c r="A96" s="118" t="s">
        <v>960</v>
      </c>
      <c r="B96" s="141" t="s">
        <v>961</v>
      </c>
      <c r="C96" s="119" t="s">
        <v>962</v>
      </c>
      <c r="D96" s="115" t="s">
        <v>876</v>
      </c>
      <c r="E96" s="115" t="s">
        <v>876</v>
      </c>
      <c r="F96" s="115" t="s">
        <v>876</v>
      </c>
      <c r="G96" s="115" t="s">
        <v>876</v>
      </c>
      <c r="H96" s="115" t="s">
        <v>876</v>
      </c>
      <c r="I96" s="115" t="s">
        <v>876</v>
      </c>
      <c r="J96" s="115" t="s">
        <v>876</v>
      </c>
      <c r="K96" s="115" t="s">
        <v>876</v>
      </c>
      <c r="L96" s="115" t="s">
        <v>876</v>
      </c>
      <c r="M96" s="115" t="s">
        <v>876</v>
      </c>
    </row>
    <row r="97" spans="1:13" s="152" customFormat="1" ht="78.75">
      <c r="A97" s="118" t="s">
        <v>963</v>
      </c>
      <c r="B97" s="141" t="s">
        <v>964</v>
      </c>
      <c r="C97" s="119" t="s">
        <v>965</v>
      </c>
      <c r="D97" s="115" t="s">
        <v>876</v>
      </c>
      <c r="E97" s="115" t="s">
        <v>876</v>
      </c>
      <c r="F97" s="115" t="s">
        <v>876</v>
      </c>
      <c r="G97" s="115" t="s">
        <v>876</v>
      </c>
      <c r="H97" s="115" t="s">
        <v>876</v>
      </c>
      <c r="I97" s="115" t="s">
        <v>876</v>
      </c>
      <c r="J97" s="115" t="s">
        <v>876</v>
      </c>
      <c r="K97" s="115" t="s">
        <v>876</v>
      </c>
      <c r="L97" s="115" t="s">
        <v>876</v>
      </c>
      <c r="M97" s="115" t="s">
        <v>876</v>
      </c>
    </row>
    <row r="98" spans="1:13" s="152" customFormat="1" ht="63">
      <c r="A98" s="118" t="s">
        <v>966</v>
      </c>
      <c r="B98" s="141" t="s">
        <v>967</v>
      </c>
      <c r="C98" s="119" t="s">
        <v>968</v>
      </c>
      <c r="D98" s="115" t="s">
        <v>876</v>
      </c>
      <c r="E98" s="115" t="s">
        <v>876</v>
      </c>
      <c r="F98" s="115" t="s">
        <v>876</v>
      </c>
      <c r="G98" s="115" t="s">
        <v>876</v>
      </c>
      <c r="H98" s="115" t="s">
        <v>876</v>
      </c>
      <c r="I98" s="115" t="s">
        <v>876</v>
      </c>
      <c r="J98" s="115" t="s">
        <v>876</v>
      </c>
      <c r="K98" s="115" t="s">
        <v>876</v>
      </c>
      <c r="L98" s="115" t="s">
        <v>876</v>
      </c>
      <c r="M98" s="115" t="s">
        <v>876</v>
      </c>
    </row>
    <row r="99" spans="1:13" s="152" customFormat="1" ht="94.5">
      <c r="A99" s="118" t="s">
        <v>969</v>
      </c>
      <c r="B99" s="141" t="s">
        <v>970</v>
      </c>
      <c r="C99" s="119" t="s">
        <v>971</v>
      </c>
      <c r="D99" s="115" t="s">
        <v>876</v>
      </c>
      <c r="E99" s="115" t="s">
        <v>876</v>
      </c>
      <c r="F99" s="115" t="s">
        <v>876</v>
      </c>
      <c r="G99" s="115" t="s">
        <v>876</v>
      </c>
      <c r="H99" s="115" t="s">
        <v>876</v>
      </c>
      <c r="I99" s="115" t="s">
        <v>876</v>
      </c>
      <c r="J99" s="115" t="s">
        <v>876</v>
      </c>
      <c r="K99" s="115" t="s">
        <v>876</v>
      </c>
      <c r="L99" s="115" t="s">
        <v>876</v>
      </c>
      <c r="M99" s="115" t="s">
        <v>876</v>
      </c>
    </row>
    <row r="100" spans="1:13" s="152" customFormat="1">
      <c r="A100" s="57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s="152" customFormat="1">
      <c r="A101" s="57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1:13" ht="40.5" customHeight="1">
      <c r="A102" s="749" t="s">
        <v>83</v>
      </c>
      <c r="B102" s="749"/>
      <c r="C102" s="749"/>
      <c r="D102" s="749"/>
      <c r="E102" s="749"/>
      <c r="F102" s="749"/>
      <c r="G102" s="749"/>
      <c r="H102" s="749"/>
      <c r="I102" s="749"/>
      <c r="J102" s="749"/>
      <c r="K102" s="749"/>
      <c r="L102" s="749"/>
      <c r="M102" s="749"/>
    </row>
  </sheetData>
  <mergeCells count="17">
    <mergeCell ref="A102:M102"/>
    <mergeCell ref="A15:M15"/>
    <mergeCell ref="A10:M10"/>
    <mergeCell ref="A6:M6"/>
    <mergeCell ref="A7:M7"/>
    <mergeCell ref="A8:M8"/>
    <mergeCell ref="F18:G18"/>
    <mergeCell ref="H18:I18"/>
    <mergeCell ref="J18:K18"/>
    <mergeCell ref="L18:M18"/>
    <mergeCell ref="A12:M12"/>
    <mergeCell ref="A14:M14"/>
    <mergeCell ref="A18:A19"/>
    <mergeCell ref="B18:B19"/>
    <mergeCell ref="C18:C19"/>
    <mergeCell ref="D18:D19"/>
    <mergeCell ref="E18:E19"/>
  </mergeCells>
  <pageMargins left="0.70866141732283472" right="0.70866141732283472" top="0.3" bottom="0.31" header="0.31496062992125984" footer="0.31496062992125984"/>
  <pageSetup paperSize="9" scale="68" fitToHeight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C44"/>
  <sheetViews>
    <sheetView topLeftCell="A34" zoomScale="85" zoomScaleNormal="85" workbookViewId="0">
      <selection activeCell="A22" sqref="A22:XFD23"/>
    </sheetView>
  </sheetViews>
  <sheetFormatPr defaultRowHeight="15"/>
  <cols>
    <col min="1" max="1" width="9.140625" style="9"/>
  </cols>
  <sheetData>
    <row r="1" spans="1:29" ht="15.75">
      <c r="Q1" s="7" t="s">
        <v>38</v>
      </c>
    </row>
    <row r="2" spans="1:29" ht="15.75">
      <c r="Q2" s="7" t="s">
        <v>23</v>
      </c>
    </row>
    <row r="3" spans="1:29" ht="15.75">
      <c r="Q3" s="7" t="s">
        <v>24</v>
      </c>
    </row>
    <row r="4" spans="1:29" ht="15.75">
      <c r="A4" s="7"/>
    </row>
    <row r="5" spans="1:29">
      <c r="A5" s="626" t="s">
        <v>39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16"/>
      <c r="V5" s="16"/>
      <c r="W5" s="16"/>
      <c r="X5" s="16"/>
      <c r="Y5" s="16"/>
      <c r="Z5" s="16"/>
      <c r="AA5" s="16"/>
      <c r="AB5" s="16"/>
      <c r="AC5" s="16"/>
    </row>
    <row r="6" spans="1:29">
      <c r="A6" s="626" t="s">
        <v>40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16"/>
      <c r="V6" s="16"/>
      <c r="W6" s="16"/>
      <c r="X6" s="16"/>
      <c r="Y6" s="16"/>
      <c r="Z6" s="16"/>
      <c r="AA6" s="16"/>
      <c r="AB6" s="16"/>
      <c r="AC6" s="16"/>
    </row>
    <row r="7" spans="1:29">
      <c r="A7" s="626" t="s">
        <v>27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16"/>
      <c r="V7" s="16"/>
      <c r="W7" s="16"/>
      <c r="X7" s="16"/>
      <c r="Y7" s="16"/>
      <c r="Z7" s="16"/>
      <c r="AA7" s="16"/>
      <c r="AB7" s="16"/>
      <c r="AC7" s="16"/>
    </row>
    <row r="8" spans="1:29">
      <c r="A8" s="626" t="s">
        <v>28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16"/>
      <c r="V8" s="16"/>
      <c r="W8" s="16"/>
      <c r="X8" s="16"/>
      <c r="Y8" s="16"/>
      <c r="Z8" s="16"/>
      <c r="AA8" s="16"/>
      <c r="AB8" s="16"/>
      <c r="AC8" s="16"/>
    </row>
    <row r="9" spans="1:29">
      <c r="A9" s="8"/>
    </row>
    <row r="10" spans="1:29">
      <c r="A10" s="626" t="s">
        <v>29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>
      <c r="A11" s="626" t="s">
        <v>30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>
      <c r="A12" s="626" t="s">
        <v>31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>
      <c r="A13" s="626" t="s">
        <v>32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>
      <c r="A14" s="8"/>
    </row>
    <row r="15" spans="1:29">
      <c r="A15" s="626" t="s">
        <v>33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>
      <c r="A16" s="8"/>
    </row>
    <row r="17" spans="1:29">
      <c r="A17" s="626" t="s">
        <v>34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>
      <c r="A18" s="626" t="s">
        <v>35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>
      <c r="A19" s="626" t="s">
        <v>36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>
      <c r="A20" s="626" t="s">
        <v>37</v>
      </c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5.75">
      <c r="A21" s="7"/>
    </row>
    <row r="28" spans="1:29" ht="15.75" thickBot="1"/>
    <row r="29" spans="1:29" ht="36" customHeight="1" thickBot="1">
      <c r="A29" s="634" t="s">
        <v>0</v>
      </c>
      <c r="B29" s="634" t="s">
        <v>1</v>
      </c>
      <c r="C29" s="634" t="s">
        <v>2</v>
      </c>
      <c r="D29" s="634" t="s">
        <v>41</v>
      </c>
      <c r="E29" s="634" t="s">
        <v>42</v>
      </c>
      <c r="F29" s="627" t="s">
        <v>43</v>
      </c>
      <c r="G29" s="628"/>
      <c r="H29" s="627" t="s">
        <v>44</v>
      </c>
      <c r="I29" s="628"/>
      <c r="J29" s="631" t="s">
        <v>45</v>
      </c>
      <c r="K29" s="632"/>
      <c r="L29" s="632"/>
      <c r="M29" s="633"/>
      <c r="N29" s="627" t="s">
        <v>46</v>
      </c>
      <c r="O29" s="628"/>
      <c r="P29" s="631" t="s">
        <v>47</v>
      </c>
      <c r="Q29" s="632"/>
      <c r="R29" s="632"/>
      <c r="S29" s="633"/>
      <c r="T29" s="634" t="s">
        <v>10</v>
      </c>
    </row>
    <row r="30" spans="1:29" ht="15.75" thickBot="1">
      <c r="A30" s="635"/>
      <c r="B30" s="635"/>
      <c r="C30" s="635"/>
      <c r="D30" s="635"/>
      <c r="E30" s="635"/>
      <c r="F30" s="629"/>
      <c r="G30" s="630"/>
      <c r="H30" s="629"/>
      <c r="I30" s="630"/>
      <c r="J30" s="631" t="s">
        <v>11</v>
      </c>
      <c r="K30" s="633"/>
      <c r="L30" s="631" t="s">
        <v>12</v>
      </c>
      <c r="M30" s="633"/>
      <c r="N30" s="629"/>
      <c r="O30" s="630"/>
      <c r="P30" s="631" t="s">
        <v>48</v>
      </c>
      <c r="Q30" s="633"/>
      <c r="R30" s="631" t="s">
        <v>20</v>
      </c>
      <c r="S30" s="633"/>
      <c r="T30" s="635"/>
    </row>
    <row r="31" spans="1:29" ht="30.75" thickBot="1">
      <c r="A31" s="636"/>
      <c r="B31" s="636"/>
      <c r="C31" s="636"/>
      <c r="D31" s="636"/>
      <c r="E31" s="636"/>
      <c r="F31" s="12" t="s">
        <v>49</v>
      </c>
      <c r="G31" s="12" t="s">
        <v>50</v>
      </c>
      <c r="H31" s="12" t="s">
        <v>49</v>
      </c>
      <c r="I31" s="12" t="s">
        <v>50</v>
      </c>
      <c r="J31" s="12" t="s">
        <v>49</v>
      </c>
      <c r="K31" s="12" t="s">
        <v>51</v>
      </c>
      <c r="L31" s="12" t="s">
        <v>49</v>
      </c>
      <c r="M31" s="12" t="s">
        <v>52</v>
      </c>
      <c r="N31" s="12" t="s">
        <v>49</v>
      </c>
      <c r="O31" s="12" t="s">
        <v>50</v>
      </c>
      <c r="P31" s="12" t="s">
        <v>49</v>
      </c>
      <c r="Q31" s="12" t="s">
        <v>51</v>
      </c>
      <c r="R31" s="12" t="s">
        <v>49</v>
      </c>
      <c r="S31" s="12" t="s">
        <v>51</v>
      </c>
      <c r="T31" s="636"/>
    </row>
    <row r="32" spans="1:29" ht="15.75" thickBot="1">
      <c r="A32" s="13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  <c r="J32" s="12">
        <v>10</v>
      </c>
      <c r="K32" s="12">
        <v>11</v>
      </c>
      <c r="L32" s="12">
        <v>12</v>
      </c>
      <c r="M32" s="12">
        <v>13</v>
      </c>
      <c r="N32" s="12">
        <v>14</v>
      </c>
      <c r="O32" s="12">
        <v>15</v>
      </c>
      <c r="P32" s="12">
        <v>16</v>
      </c>
      <c r="Q32" s="12">
        <v>17</v>
      </c>
      <c r="R32" s="12">
        <v>18</v>
      </c>
      <c r="S32" s="12">
        <v>19</v>
      </c>
      <c r="T32" s="12">
        <v>20</v>
      </c>
    </row>
    <row r="33" spans="1:20" ht="15.75" thickBo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.75" thickBot="1">
      <c r="A34" s="623" t="s">
        <v>21</v>
      </c>
      <c r="B34" s="624"/>
      <c r="C34" s="62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44" spans="1:20" ht="15.75">
      <c r="A44" s="7" t="s">
        <v>83</v>
      </c>
    </row>
  </sheetData>
  <mergeCells count="29">
    <mergeCell ref="A18:T18"/>
    <mergeCell ref="A19:T19"/>
    <mergeCell ref="J30:K30"/>
    <mergeCell ref="L30:M30"/>
    <mergeCell ref="P30:Q30"/>
    <mergeCell ref="R30:S30"/>
    <mergeCell ref="A29:A31"/>
    <mergeCell ref="B29:B31"/>
    <mergeCell ref="C29:C31"/>
    <mergeCell ref="D29:D31"/>
    <mergeCell ref="E29:E31"/>
    <mergeCell ref="F29:G30"/>
    <mergeCell ref="A20:T20"/>
    <mergeCell ref="A34:C34"/>
    <mergeCell ref="A5:T5"/>
    <mergeCell ref="A6:T6"/>
    <mergeCell ref="A7:T7"/>
    <mergeCell ref="A8:T8"/>
    <mergeCell ref="A10:T10"/>
    <mergeCell ref="A11:T11"/>
    <mergeCell ref="A12:T12"/>
    <mergeCell ref="A13:T13"/>
    <mergeCell ref="A15:T15"/>
    <mergeCell ref="H29:I30"/>
    <mergeCell ref="J29:M29"/>
    <mergeCell ref="N29:O30"/>
    <mergeCell ref="P29:S29"/>
    <mergeCell ref="T29:T31"/>
    <mergeCell ref="A17:T1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T290"/>
  <sheetViews>
    <sheetView zoomScale="70" zoomScaleNormal="70" workbookViewId="0">
      <selection sqref="A1:XFD18"/>
    </sheetView>
  </sheetViews>
  <sheetFormatPr defaultRowHeight="15.75"/>
  <cols>
    <col min="1" max="1" width="17.85546875" style="71" customWidth="1"/>
    <col min="2" max="2" width="43.140625" style="60" customWidth="1"/>
    <col min="3" max="3" width="11.5703125" style="60" customWidth="1"/>
    <col min="4" max="4" width="34" style="60" customWidth="1"/>
    <col min="5" max="5" width="18.140625" style="60" customWidth="1"/>
    <col min="6" max="7" width="17.42578125" style="60" customWidth="1"/>
    <col min="8" max="8" width="13.85546875" style="60" customWidth="1"/>
  </cols>
  <sheetData>
    <row r="1" spans="1:20">
      <c r="G1" s="57" t="s">
        <v>638</v>
      </c>
    </row>
    <row r="2" spans="1:20">
      <c r="G2" s="57" t="s">
        <v>23</v>
      </c>
    </row>
    <row r="3" spans="1:20">
      <c r="G3" s="57" t="s">
        <v>24</v>
      </c>
    </row>
    <row r="6" spans="1:20">
      <c r="A6" s="699" t="s">
        <v>639</v>
      </c>
      <c r="B6" s="699"/>
      <c r="C6" s="699"/>
      <c r="D6" s="699"/>
      <c r="E6" s="699"/>
      <c r="F6" s="699"/>
      <c r="G6" s="699"/>
      <c r="H6" s="699"/>
      <c r="I6" s="16"/>
      <c r="J6" s="16"/>
      <c r="K6" s="16"/>
      <c r="L6" s="16"/>
      <c r="M6" s="16"/>
    </row>
    <row r="7" spans="1:20">
      <c r="A7" s="699" t="s">
        <v>640</v>
      </c>
      <c r="B7" s="699"/>
      <c r="C7" s="699"/>
      <c r="D7" s="699"/>
      <c r="E7" s="699"/>
      <c r="F7" s="699"/>
      <c r="G7" s="699"/>
      <c r="H7" s="699"/>
      <c r="I7" s="16"/>
      <c r="J7" s="16"/>
      <c r="K7" s="16"/>
      <c r="L7" s="16"/>
      <c r="M7" s="16"/>
    </row>
    <row r="9" spans="1:20" ht="33" customHeight="1">
      <c r="A9" s="752" t="s">
        <v>741</v>
      </c>
      <c r="B9" s="752"/>
      <c r="C9" s="752"/>
      <c r="D9" s="752"/>
      <c r="E9" s="752"/>
      <c r="F9" s="752"/>
      <c r="G9" s="752"/>
      <c r="H9" s="752"/>
      <c r="I9" s="72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>
      <c r="I10" s="16"/>
      <c r="J10" s="16"/>
      <c r="K10" s="16"/>
      <c r="L10" s="16"/>
      <c r="M10" s="16"/>
    </row>
    <row r="11" spans="1:20">
      <c r="A11" s="697" t="s">
        <v>742</v>
      </c>
      <c r="B11" s="697"/>
      <c r="C11" s="697"/>
      <c r="D11" s="697"/>
      <c r="E11" s="697"/>
      <c r="F11" s="697"/>
      <c r="G11" s="697"/>
      <c r="H11" s="697"/>
      <c r="I11" s="16"/>
      <c r="J11" s="16"/>
      <c r="K11" s="16"/>
      <c r="L11" s="16"/>
      <c r="M11" s="16"/>
    </row>
    <row r="12" spans="1:20">
      <c r="B12" s="73"/>
      <c r="C12" s="73"/>
      <c r="D12" s="73"/>
      <c r="E12" s="73"/>
      <c r="F12" s="73"/>
      <c r="G12" s="73"/>
      <c r="H12" s="73"/>
      <c r="I12" s="26"/>
      <c r="J12" s="26"/>
      <c r="K12" s="26"/>
      <c r="L12" s="26"/>
      <c r="M12" s="26"/>
    </row>
    <row r="13" spans="1:20" s="24" customFormat="1">
      <c r="A13" s="697" t="s">
        <v>725</v>
      </c>
      <c r="B13" s="697"/>
      <c r="C13" s="697"/>
      <c r="D13" s="697"/>
      <c r="E13" s="697"/>
      <c r="F13" s="697"/>
      <c r="G13" s="697"/>
      <c r="H13" s="697"/>
      <c r="I13" s="16"/>
      <c r="J13" s="16"/>
      <c r="K13" s="16"/>
      <c r="L13" s="16"/>
      <c r="M13" s="16"/>
    </row>
    <row r="15" spans="1:20">
      <c r="A15" s="697" t="s">
        <v>131</v>
      </c>
      <c r="B15" s="697"/>
      <c r="C15" s="697"/>
      <c r="D15" s="697"/>
      <c r="E15" s="697"/>
      <c r="F15" s="697"/>
      <c r="G15" s="697"/>
      <c r="H15" s="697"/>
    </row>
    <row r="16" spans="1:20" ht="39" customHeight="1">
      <c r="A16" s="750" t="s">
        <v>726</v>
      </c>
      <c r="B16" s="750"/>
      <c r="C16" s="750"/>
      <c r="D16" s="750"/>
      <c r="E16" s="750"/>
      <c r="F16" s="750"/>
      <c r="G16" s="750"/>
      <c r="H16" s="750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8" ht="26.25" customHeight="1"/>
    <row r="18" spans="1:8">
      <c r="A18" s="82" t="s">
        <v>740</v>
      </c>
      <c r="B18" s="57"/>
      <c r="C18"/>
      <c r="D18"/>
      <c r="E18"/>
      <c r="F18"/>
      <c r="G18"/>
      <c r="H18"/>
    </row>
    <row r="20" spans="1:8" ht="78.75" customHeight="1">
      <c r="A20" s="695" t="s">
        <v>136</v>
      </c>
      <c r="B20" s="695" t="s">
        <v>137</v>
      </c>
      <c r="C20" s="695" t="s">
        <v>138</v>
      </c>
      <c r="D20" s="695" t="s">
        <v>139</v>
      </c>
      <c r="E20" s="695"/>
      <c r="F20" s="695" t="s">
        <v>641</v>
      </c>
      <c r="G20" s="695"/>
      <c r="H20" s="695" t="s">
        <v>10</v>
      </c>
    </row>
    <row r="21" spans="1:8" ht="31.5">
      <c r="A21" s="695"/>
      <c r="B21" s="695"/>
      <c r="C21" s="695"/>
      <c r="D21" s="66" t="s">
        <v>11</v>
      </c>
      <c r="E21" s="66" t="s">
        <v>12</v>
      </c>
      <c r="F21" s="66" t="s">
        <v>141</v>
      </c>
      <c r="G21" s="66" t="s">
        <v>142</v>
      </c>
      <c r="H21" s="695"/>
    </row>
    <row r="22" spans="1:8">
      <c r="A22" s="66">
        <v>1</v>
      </c>
      <c r="B22" s="66">
        <v>2</v>
      </c>
      <c r="C22" s="66">
        <v>3</v>
      </c>
      <c r="D22" s="66">
        <v>4</v>
      </c>
      <c r="E22" s="66">
        <v>5</v>
      </c>
      <c r="F22" s="66">
        <v>6</v>
      </c>
      <c r="G22" s="66">
        <v>7</v>
      </c>
      <c r="H22" s="66">
        <v>8</v>
      </c>
    </row>
    <row r="23" spans="1:8">
      <c r="A23" s="751" t="s">
        <v>143</v>
      </c>
      <c r="B23" s="751"/>
      <c r="C23" s="751"/>
      <c r="D23" s="751"/>
      <c r="E23" s="751"/>
      <c r="F23" s="751"/>
      <c r="G23" s="751"/>
      <c r="H23" s="751"/>
    </row>
    <row r="24" spans="1:8" ht="31.5">
      <c r="A24" s="67" t="s">
        <v>144</v>
      </c>
      <c r="B24" s="75" t="s">
        <v>145</v>
      </c>
      <c r="C24" s="67" t="s">
        <v>146</v>
      </c>
      <c r="D24" s="68"/>
      <c r="E24" s="68"/>
      <c r="F24" s="68"/>
      <c r="G24" s="68"/>
      <c r="H24" s="68"/>
    </row>
    <row r="25" spans="1:8" ht="31.5">
      <c r="A25" s="67">
        <v>1.1000000000000001</v>
      </c>
      <c r="B25" s="75" t="s">
        <v>147</v>
      </c>
      <c r="C25" s="67" t="s">
        <v>146</v>
      </c>
      <c r="D25" s="68"/>
      <c r="E25" s="68"/>
      <c r="F25" s="68"/>
      <c r="G25" s="68"/>
      <c r="H25" s="68"/>
    </row>
    <row r="26" spans="1:8" ht="47.25">
      <c r="A26" s="80" t="s">
        <v>743</v>
      </c>
      <c r="B26" s="75" t="s">
        <v>148</v>
      </c>
      <c r="C26" s="67" t="s">
        <v>146</v>
      </c>
      <c r="D26" s="68"/>
      <c r="E26" s="68"/>
      <c r="F26" s="68"/>
      <c r="G26" s="68"/>
      <c r="H26" s="68"/>
    </row>
    <row r="27" spans="1:8" ht="47.25">
      <c r="A27" s="80" t="s">
        <v>744</v>
      </c>
      <c r="B27" s="75" t="s">
        <v>149</v>
      </c>
      <c r="C27" s="67" t="s">
        <v>146</v>
      </c>
      <c r="D27" s="68"/>
      <c r="E27" s="68"/>
      <c r="F27" s="68"/>
      <c r="G27" s="68"/>
      <c r="H27" s="68"/>
    </row>
    <row r="28" spans="1:8" ht="47.25">
      <c r="A28" s="80" t="s">
        <v>745</v>
      </c>
      <c r="B28" s="75" t="s">
        <v>150</v>
      </c>
      <c r="C28" s="67" t="s">
        <v>146</v>
      </c>
      <c r="D28" s="68"/>
      <c r="E28" s="68"/>
      <c r="F28" s="68"/>
      <c r="G28" s="68"/>
      <c r="H28" s="68"/>
    </row>
    <row r="29" spans="1:8" ht="31.5">
      <c r="A29" s="67">
        <v>1.2</v>
      </c>
      <c r="B29" s="75" t="s">
        <v>151</v>
      </c>
      <c r="C29" s="67" t="s">
        <v>146</v>
      </c>
      <c r="D29" s="68"/>
      <c r="E29" s="68"/>
      <c r="F29" s="68"/>
      <c r="G29" s="68"/>
      <c r="H29" s="68"/>
    </row>
    <row r="30" spans="1:8" ht="31.5">
      <c r="A30" s="67">
        <v>1.3</v>
      </c>
      <c r="B30" s="75" t="s">
        <v>152</v>
      </c>
      <c r="C30" s="67" t="s">
        <v>146</v>
      </c>
      <c r="D30" s="68"/>
      <c r="E30" s="68"/>
      <c r="F30" s="68"/>
      <c r="G30" s="68"/>
      <c r="H30" s="68"/>
    </row>
    <row r="31" spans="1:8" ht="31.5">
      <c r="A31" s="67">
        <v>1.4</v>
      </c>
      <c r="B31" s="75" t="s">
        <v>153</v>
      </c>
      <c r="C31" s="67" t="s">
        <v>146</v>
      </c>
      <c r="D31" s="68"/>
      <c r="E31" s="68"/>
      <c r="F31" s="68"/>
      <c r="G31" s="68"/>
      <c r="H31" s="68"/>
    </row>
    <row r="32" spans="1:8" ht="31.5">
      <c r="A32" s="67">
        <v>1.5</v>
      </c>
      <c r="B32" s="75" t="s">
        <v>154</v>
      </c>
      <c r="C32" s="67" t="s">
        <v>146</v>
      </c>
      <c r="D32" s="68"/>
      <c r="E32" s="68"/>
      <c r="F32" s="68"/>
      <c r="G32" s="68"/>
      <c r="H32" s="68"/>
    </row>
    <row r="33" spans="1:8" ht="31.5">
      <c r="A33" s="67">
        <v>1.6</v>
      </c>
      <c r="B33" s="75" t="s">
        <v>155</v>
      </c>
      <c r="C33" s="67" t="s">
        <v>146</v>
      </c>
      <c r="D33" s="68"/>
      <c r="E33" s="68"/>
      <c r="F33" s="68"/>
      <c r="G33" s="68"/>
      <c r="H33" s="68"/>
    </row>
    <row r="34" spans="1:8" ht="31.5">
      <c r="A34" s="67">
        <v>1.7</v>
      </c>
      <c r="B34" s="75" t="s">
        <v>156</v>
      </c>
      <c r="C34" s="67" t="s">
        <v>146</v>
      </c>
      <c r="D34" s="68"/>
      <c r="E34" s="68"/>
      <c r="F34" s="68"/>
      <c r="G34" s="68"/>
      <c r="H34" s="68"/>
    </row>
    <row r="35" spans="1:8" ht="47.25">
      <c r="A35" s="67">
        <v>1.8</v>
      </c>
      <c r="B35" s="75" t="s">
        <v>157</v>
      </c>
      <c r="C35" s="67" t="s">
        <v>146</v>
      </c>
      <c r="D35" s="68"/>
      <c r="E35" s="68"/>
      <c r="F35" s="68"/>
      <c r="G35" s="68"/>
      <c r="H35" s="68"/>
    </row>
    <row r="36" spans="1:8" ht="31.5">
      <c r="A36" s="80" t="s">
        <v>746</v>
      </c>
      <c r="B36" s="75" t="s">
        <v>158</v>
      </c>
      <c r="C36" s="67" t="s">
        <v>146</v>
      </c>
      <c r="D36" s="68"/>
      <c r="E36" s="68"/>
      <c r="F36" s="68"/>
      <c r="G36" s="68"/>
      <c r="H36" s="68"/>
    </row>
    <row r="37" spans="1:8" ht="31.5">
      <c r="A37" s="80" t="s">
        <v>747</v>
      </c>
      <c r="B37" s="75" t="s">
        <v>159</v>
      </c>
      <c r="C37" s="67" t="s">
        <v>146</v>
      </c>
      <c r="D37" s="68"/>
      <c r="E37" s="68"/>
      <c r="F37" s="68"/>
      <c r="G37" s="68"/>
      <c r="H37" s="68"/>
    </row>
    <row r="38" spans="1:8" ht="31.5">
      <c r="A38" s="67">
        <v>1.9</v>
      </c>
      <c r="B38" s="75" t="s">
        <v>160</v>
      </c>
      <c r="C38" s="67" t="s">
        <v>146</v>
      </c>
      <c r="D38" s="68"/>
      <c r="E38" s="68"/>
      <c r="F38" s="68"/>
      <c r="G38" s="68"/>
      <c r="H38" s="68"/>
    </row>
    <row r="39" spans="1:8" ht="47.25">
      <c r="A39" s="67" t="s">
        <v>161</v>
      </c>
      <c r="B39" s="76" t="s">
        <v>162</v>
      </c>
      <c r="C39" s="67" t="s">
        <v>146</v>
      </c>
      <c r="D39" s="68"/>
      <c r="E39" s="68"/>
      <c r="F39" s="68"/>
      <c r="G39" s="68"/>
      <c r="H39" s="68"/>
    </row>
    <row r="40" spans="1:8" ht="31.5">
      <c r="A40" s="67">
        <v>2.1</v>
      </c>
      <c r="B40" s="75" t="s">
        <v>147</v>
      </c>
      <c r="C40" s="67" t="s">
        <v>146</v>
      </c>
      <c r="D40" s="68"/>
      <c r="E40" s="68"/>
      <c r="F40" s="68"/>
      <c r="G40" s="68"/>
      <c r="H40" s="68"/>
    </row>
    <row r="41" spans="1:8" ht="47.25">
      <c r="A41" s="80" t="s">
        <v>748</v>
      </c>
      <c r="B41" s="75" t="s">
        <v>148</v>
      </c>
      <c r="C41" s="67" t="s">
        <v>146</v>
      </c>
      <c r="D41" s="68"/>
      <c r="E41" s="68"/>
      <c r="F41" s="68"/>
      <c r="G41" s="68"/>
      <c r="H41" s="68"/>
    </row>
    <row r="42" spans="1:8" ht="47.25">
      <c r="A42" s="80" t="s">
        <v>749</v>
      </c>
      <c r="B42" s="75" t="s">
        <v>149</v>
      </c>
      <c r="C42" s="67" t="s">
        <v>146</v>
      </c>
      <c r="D42" s="68"/>
      <c r="E42" s="68"/>
      <c r="F42" s="68"/>
      <c r="G42" s="68"/>
      <c r="H42" s="68"/>
    </row>
    <row r="43" spans="1:8" ht="47.25">
      <c r="A43" s="80" t="s">
        <v>750</v>
      </c>
      <c r="B43" s="75" t="s">
        <v>150</v>
      </c>
      <c r="C43" s="67" t="s">
        <v>146</v>
      </c>
      <c r="D43" s="68"/>
      <c r="E43" s="68"/>
      <c r="F43" s="68"/>
      <c r="G43" s="68"/>
      <c r="H43" s="68"/>
    </row>
    <row r="44" spans="1:8" ht="31.5">
      <c r="A44" s="67">
        <v>2.2000000000000002</v>
      </c>
      <c r="B44" s="75" t="s">
        <v>151</v>
      </c>
      <c r="C44" s="67" t="s">
        <v>146</v>
      </c>
      <c r="D44" s="68"/>
      <c r="E44" s="68"/>
      <c r="F44" s="68"/>
      <c r="G44" s="68"/>
      <c r="H44" s="68"/>
    </row>
    <row r="45" spans="1:8" ht="31.5">
      <c r="A45" s="67">
        <v>2.2999999999999998</v>
      </c>
      <c r="B45" s="75" t="s">
        <v>152</v>
      </c>
      <c r="C45" s="67" t="s">
        <v>146</v>
      </c>
      <c r="D45" s="68"/>
      <c r="E45" s="68"/>
      <c r="F45" s="68"/>
      <c r="G45" s="68"/>
      <c r="H45" s="68"/>
    </row>
    <row r="46" spans="1:8" ht="31.5">
      <c r="A46" s="67">
        <v>2.4</v>
      </c>
      <c r="B46" s="75" t="s">
        <v>153</v>
      </c>
      <c r="C46" s="67" t="s">
        <v>146</v>
      </c>
      <c r="D46" s="68"/>
      <c r="E46" s="68"/>
      <c r="F46" s="68"/>
      <c r="G46" s="68"/>
      <c r="H46" s="68"/>
    </row>
    <row r="47" spans="1:8" ht="31.5">
      <c r="A47" s="67">
        <v>2.5</v>
      </c>
      <c r="B47" s="75" t="s">
        <v>154</v>
      </c>
      <c r="C47" s="67" t="s">
        <v>146</v>
      </c>
      <c r="D47" s="68"/>
      <c r="E47" s="68"/>
      <c r="F47" s="68"/>
      <c r="G47" s="68"/>
      <c r="H47" s="68"/>
    </row>
    <row r="48" spans="1:8" ht="31.5">
      <c r="A48" s="67">
        <v>2.6</v>
      </c>
      <c r="B48" s="75" t="s">
        <v>155</v>
      </c>
      <c r="C48" s="67" t="s">
        <v>146</v>
      </c>
      <c r="D48" s="68"/>
      <c r="E48" s="68"/>
      <c r="F48" s="68"/>
      <c r="G48" s="68"/>
      <c r="H48" s="68"/>
    </row>
    <row r="49" spans="1:8" ht="31.5">
      <c r="A49" s="67">
        <v>2.7</v>
      </c>
      <c r="B49" s="75" t="s">
        <v>156</v>
      </c>
      <c r="C49" s="67" t="s">
        <v>146</v>
      </c>
      <c r="D49" s="68"/>
      <c r="E49" s="68"/>
      <c r="F49" s="68"/>
      <c r="G49" s="68"/>
      <c r="H49" s="68"/>
    </row>
    <row r="50" spans="1:8" ht="47.25">
      <c r="A50" s="67">
        <v>2.8</v>
      </c>
      <c r="B50" s="75" t="s">
        <v>157</v>
      </c>
      <c r="C50" s="67" t="s">
        <v>146</v>
      </c>
      <c r="D50" s="68"/>
      <c r="E50" s="68"/>
      <c r="F50" s="68"/>
      <c r="G50" s="68"/>
      <c r="H50" s="68"/>
    </row>
    <row r="51" spans="1:8" ht="31.5">
      <c r="A51" s="80" t="s">
        <v>751</v>
      </c>
      <c r="B51" s="75" t="s">
        <v>158</v>
      </c>
      <c r="C51" s="67" t="s">
        <v>146</v>
      </c>
      <c r="D51" s="68"/>
      <c r="E51" s="68"/>
      <c r="F51" s="68"/>
      <c r="G51" s="68"/>
      <c r="H51" s="68"/>
    </row>
    <row r="52" spans="1:8" ht="31.5">
      <c r="A52" s="80" t="s">
        <v>752</v>
      </c>
      <c r="B52" s="75" t="s">
        <v>159</v>
      </c>
      <c r="C52" s="67" t="s">
        <v>146</v>
      </c>
      <c r="D52" s="68"/>
      <c r="E52" s="68"/>
      <c r="F52" s="68"/>
      <c r="G52" s="68"/>
      <c r="H52" s="68"/>
    </row>
    <row r="53" spans="1:8" ht="31.5">
      <c r="A53" s="67">
        <v>2.9</v>
      </c>
      <c r="B53" s="75" t="s">
        <v>160</v>
      </c>
      <c r="C53" s="67" t="s">
        <v>146</v>
      </c>
      <c r="D53" s="68"/>
      <c r="E53" s="68"/>
      <c r="F53" s="68"/>
      <c r="G53" s="68"/>
      <c r="H53" s="68"/>
    </row>
    <row r="54" spans="1:8" ht="31.5">
      <c r="A54" s="67" t="s">
        <v>163</v>
      </c>
      <c r="B54" s="75" t="s">
        <v>164</v>
      </c>
      <c r="C54" s="67" t="s">
        <v>146</v>
      </c>
      <c r="D54" s="68"/>
      <c r="E54" s="68"/>
      <c r="F54" s="68"/>
      <c r="G54" s="68"/>
      <c r="H54" s="68"/>
    </row>
    <row r="55" spans="1:8" ht="31.5">
      <c r="A55" s="80" t="s">
        <v>748</v>
      </c>
      <c r="B55" s="75" t="s">
        <v>165</v>
      </c>
      <c r="C55" s="67" t="s">
        <v>146</v>
      </c>
      <c r="D55" s="68"/>
      <c r="E55" s="68"/>
      <c r="F55" s="68"/>
      <c r="G55" s="68"/>
      <c r="H55" s="68"/>
    </row>
    <row r="56" spans="1:8" ht="31.5">
      <c r="A56" s="80" t="s">
        <v>749</v>
      </c>
      <c r="B56" s="75" t="s">
        <v>166</v>
      </c>
      <c r="C56" s="67" t="s">
        <v>146</v>
      </c>
      <c r="D56" s="68"/>
      <c r="E56" s="68"/>
      <c r="F56" s="68"/>
      <c r="G56" s="68"/>
      <c r="H56" s="68"/>
    </row>
    <row r="57" spans="1:8" ht="31.5">
      <c r="A57" s="67" t="s">
        <v>167</v>
      </c>
      <c r="B57" s="75" t="s">
        <v>168</v>
      </c>
      <c r="C57" s="67" t="s">
        <v>146</v>
      </c>
      <c r="D57" s="68"/>
      <c r="E57" s="68"/>
      <c r="F57" s="68"/>
      <c r="G57" s="68"/>
      <c r="H57" s="68"/>
    </row>
    <row r="58" spans="1:8" ht="47.25">
      <c r="A58" s="67" t="s">
        <v>169</v>
      </c>
      <c r="B58" s="75" t="s">
        <v>170</v>
      </c>
      <c r="C58" s="67" t="s">
        <v>146</v>
      </c>
      <c r="D58" s="68"/>
      <c r="E58" s="68"/>
      <c r="F58" s="68"/>
      <c r="G58" s="68"/>
      <c r="H58" s="68"/>
    </row>
    <row r="59" spans="1:8" ht="31.5">
      <c r="A59" s="67" t="s">
        <v>171</v>
      </c>
      <c r="B59" s="75" t="s">
        <v>172</v>
      </c>
      <c r="C59" s="67" t="s">
        <v>146</v>
      </c>
      <c r="D59" s="68"/>
      <c r="E59" s="68"/>
      <c r="F59" s="68"/>
      <c r="G59" s="68"/>
      <c r="H59" s="68"/>
    </row>
    <row r="60" spans="1:8" ht="31.5">
      <c r="A60" s="67" t="s">
        <v>173</v>
      </c>
      <c r="B60" s="75" t="s">
        <v>174</v>
      </c>
      <c r="C60" s="67" t="s">
        <v>146</v>
      </c>
      <c r="D60" s="68"/>
      <c r="E60" s="68"/>
      <c r="F60" s="68"/>
      <c r="G60" s="68"/>
      <c r="H60" s="68"/>
    </row>
    <row r="61" spans="1:8" ht="31.5">
      <c r="A61" s="80" t="s">
        <v>750</v>
      </c>
      <c r="B61" s="75" t="s">
        <v>175</v>
      </c>
      <c r="C61" s="67" t="s">
        <v>146</v>
      </c>
      <c r="D61" s="68"/>
      <c r="E61" s="68"/>
      <c r="F61" s="68"/>
      <c r="G61" s="68"/>
      <c r="H61" s="68"/>
    </row>
    <row r="62" spans="1:8" ht="31.5">
      <c r="A62" s="80" t="s">
        <v>753</v>
      </c>
      <c r="B62" s="75" t="s">
        <v>176</v>
      </c>
      <c r="C62" s="67" t="s">
        <v>146</v>
      </c>
      <c r="D62" s="68"/>
      <c r="E62" s="68"/>
      <c r="F62" s="68"/>
      <c r="G62" s="68"/>
      <c r="H62" s="68"/>
    </row>
    <row r="63" spans="1:8" ht="31.5">
      <c r="A63" s="67" t="s">
        <v>177</v>
      </c>
      <c r="B63" s="75" t="s">
        <v>178</v>
      </c>
      <c r="C63" s="67" t="s">
        <v>146</v>
      </c>
      <c r="D63" s="68"/>
      <c r="E63" s="68"/>
      <c r="F63" s="68"/>
      <c r="G63" s="68"/>
      <c r="H63" s="68"/>
    </row>
    <row r="64" spans="1:8" ht="47.25">
      <c r="A64" s="80" t="s">
        <v>754</v>
      </c>
      <c r="B64" s="75" t="s">
        <v>179</v>
      </c>
      <c r="C64" s="67" t="s">
        <v>146</v>
      </c>
      <c r="D64" s="68"/>
      <c r="E64" s="68"/>
      <c r="F64" s="68"/>
      <c r="G64" s="68"/>
      <c r="H64" s="68"/>
    </row>
    <row r="65" spans="1:8" ht="47.25">
      <c r="A65" s="80" t="s">
        <v>755</v>
      </c>
      <c r="B65" s="75" t="s">
        <v>180</v>
      </c>
      <c r="C65" s="67" t="s">
        <v>146</v>
      </c>
      <c r="D65" s="68"/>
      <c r="E65" s="68"/>
      <c r="F65" s="68"/>
      <c r="G65" s="68"/>
      <c r="H65" s="68"/>
    </row>
    <row r="66" spans="1:8" ht="31.5">
      <c r="A66" s="80" t="s">
        <v>756</v>
      </c>
      <c r="B66" s="75" t="s">
        <v>181</v>
      </c>
      <c r="C66" s="67" t="s">
        <v>146</v>
      </c>
      <c r="D66" s="68"/>
      <c r="E66" s="68"/>
      <c r="F66" s="68"/>
      <c r="G66" s="68"/>
      <c r="H66" s="68"/>
    </row>
    <row r="67" spans="1:8" ht="31.5">
      <c r="A67" s="80" t="s">
        <v>757</v>
      </c>
      <c r="B67" s="75" t="s">
        <v>182</v>
      </c>
      <c r="C67" s="67" t="s">
        <v>146</v>
      </c>
      <c r="D67" s="68"/>
      <c r="E67" s="68"/>
      <c r="F67" s="68"/>
      <c r="G67" s="68"/>
      <c r="H67" s="68"/>
    </row>
    <row r="68" spans="1:8" ht="31.5">
      <c r="A68" s="80" t="s">
        <v>758</v>
      </c>
      <c r="B68" s="75" t="s">
        <v>183</v>
      </c>
      <c r="C68" s="67" t="s">
        <v>146</v>
      </c>
      <c r="D68" s="68"/>
      <c r="E68" s="68"/>
      <c r="F68" s="68"/>
      <c r="G68" s="68"/>
      <c r="H68" s="68"/>
    </row>
    <row r="69" spans="1:8" ht="31.5">
      <c r="A69" s="67" t="s">
        <v>184</v>
      </c>
      <c r="B69" s="75" t="s">
        <v>185</v>
      </c>
      <c r="C69" s="67" t="s">
        <v>146</v>
      </c>
      <c r="D69" s="68"/>
      <c r="E69" s="68"/>
      <c r="F69" s="68"/>
      <c r="G69" s="68"/>
      <c r="H69" s="68"/>
    </row>
    <row r="70" spans="1:8" ht="31.5">
      <c r="A70" s="67" t="s">
        <v>186</v>
      </c>
      <c r="B70" s="75" t="s">
        <v>187</v>
      </c>
      <c r="C70" s="67" t="s">
        <v>146</v>
      </c>
      <c r="D70" s="68"/>
      <c r="E70" s="68"/>
      <c r="F70" s="68"/>
      <c r="G70" s="68"/>
      <c r="H70" s="68"/>
    </row>
    <row r="71" spans="1:8" ht="31.5">
      <c r="A71" s="67" t="s">
        <v>188</v>
      </c>
      <c r="B71" s="75" t="s">
        <v>189</v>
      </c>
      <c r="C71" s="67" t="s">
        <v>146</v>
      </c>
      <c r="D71" s="68"/>
      <c r="E71" s="68"/>
      <c r="F71" s="68"/>
      <c r="G71" s="68"/>
      <c r="H71" s="68"/>
    </row>
    <row r="72" spans="1:8" ht="31.5">
      <c r="A72" s="80" t="s">
        <v>759</v>
      </c>
      <c r="B72" s="75" t="s">
        <v>190</v>
      </c>
      <c r="C72" s="67" t="s">
        <v>146</v>
      </c>
      <c r="D72" s="68"/>
      <c r="E72" s="68"/>
      <c r="F72" s="68"/>
      <c r="G72" s="68"/>
      <c r="H72" s="68"/>
    </row>
    <row r="73" spans="1:8" ht="31.5">
      <c r="A73" s="80" t="s">
        <v>760</v>
      </c>
      <c r="B73" s="75" t="s">
        <v>191</v>
      </c>
      <c r="C73" s="67" t="s">
        <v>146</v>
      </c>
      <c r="D73" s="68"/>
      <c r="E73" s="68"/>
      <c r="F73" s="68"/>
      <c r="G73" s="68"/>
      <c r="H73" s="68"/>
    </row>
    <row r="74" spans="1:8" ht="31.5">
      <c r="A74" s="67" t="s">
        <v>192</v>
      </c>
      <c r="B74" s="75" t="s">
        <v>193</v>
      </c>
      <c r="C74" s="67" t="s">
        <v>146</v>
      </c>
      <c r="D74" s="68"/>
      <c r="E74" s="68"/>
      <c r="F74" s="68"/>
      <c r="G74" s="68"/>
      <c r="H74" s="68"/>
    </row>
    <row r="75" spans="1:8" ht="31.5">
      <c r="A75" s="80" t="s">
        <v>761</v>
      </c>
      <c r="B75" s="75" t="s">
        <v>194</v>
      </c>
      <c r="C75" s="67" t="s">
        <v>146</v>
      </c>
      <c r="D75" s="68"/>
      <c r="E75" s="68"/>
      <c r="F75" s="68"/>
      <c r="G75" s="68"/>
      <c r="H75" s="68"/>
    </row>
    <row r="76" spans="1:8" ht="31.5">
      <c r="A76" s="80" t="s">
        <v>762</v>
      </c>
      <c r="B76" s="75" t="s">
        <v>195</v>
      </c>
      <c r="C76" s="67" t="s">
        <v>146</v>
      </c>
      <c r="D76" s="68"/>
      <c r="E76" s="68"/>
      <c r="F76" s="68"/>
      <c r="G76" s="68"/>
      <c r="H76" s="68"/>
    </row>
    <row r="77" spans="1:8" ht="31.5">
      <c r="A77" s="80" t="s">
        <v>763</v>
      </c>
      <c r="B77" s="75" t="s">
        <v>196</v>
      </c>
      <c r="C77" s="67" t="s">
        <v>146</v>
      </c>
      <c r="D77" s="68"/>
      <c r="E77" s="68"/>
      <c r="F77" s="68"/>
      <c r="G77" s="68"/>
      <c r="H77" s="68"/>
    </row>
    <row r="78" spans="1:8" ht="31.5">
      <c r="A78" s="67" t="s">
        <v>197</v>
      </c>
      <c r="B78" s="76" t="s">
        <v>198</v>
      </c>
      <c r="C78" s="67" t="s">
        <v>146</v>
      </c>
      <c r="D78" s="68"/>
      <c r="E78" s="68"/>
      <c r="F78" s="68"/>
      <c r="G78" s="68"/>
      <c r="H78" s="68"/>
    </row>
    <row r="79" spans="1:8" ht="31.5">
      <c r="A79" s="80" t="s">
        <v>764</v>
      </c>
      <c r="B79" s="75" t="s">
        <v>199</v>
      </c>
      <c r="C79" s="67" t="s">
        <v>146</v>
      </c>
      <c r="D79" s="68"/>
      <c r="E79" s="68"/>
      <c r="F79" s="68"/>
      <c r="G79" s="68"/>
      <c r="H79" s="68"/>
    </row>
    <row r="80" spans="1:8" ht="31.5">
      <c r="A80" s="80" t="s">
        <v>765</v>
      </c>
      <c r="B80" s="75" t="s">
        <v>200</v>
      </c>
      <c r="C80" s="67" t="s">
        <v>146</v>
      </c>
      <c r="D80" s="68"/>
      <c r="E80" s="68"/>
      <c r="F80" s="68"/>
      <c r="G80" s="68"/>
      <c r="H80" s="68"/>
    </row>
    <row r="81" spans="1:8" ht="31.5">
      <c r="A81" s="80" t="s">
        <v>766</v>
      </c>
      <c r="B81" s="75" t="s">
        <v>201</v>
      </c>
      <c r="C81" s="67" t="s">
        <v>146</v>
      </c>
      <c r="D81" s="68"/>
      <c r="E81" s="68"/>
      <c r="F81" s="68"/>
      <c r="G81" s="68"/>
      <c r="H81" s="68"/>
    </row>
    <row r="82" spans="1:8" ht="31.5">
      <c r="A82" s="67" t="s">
        <v>202</v>
      </c>
      <c r="B82" s="75" t="s">
        <v>203</v>
      </c>
      <c r="C82" s="67" t="s">
        <v>146</v>
      </c>
      <c r="D82" s="68"/>
      <c r="E82" s="68"/>
      <c r="F82" s="68"/>
      <c r="G82" s="68"/>
      <c r="H82" s="68"/>
    </row>
    <row r="83" spans="1:8" ht="31.5">
      <c r="A83" s="67">
        <v>3.1</v>
      </c>
      <c r="B83" s="75" t="s">
        <v>147</v>
      </c>
      <c r="C83" s="67" t="s">
        <v>146</v>
      </c>
      <c r="D83" s="68"/>
      <c r="E83" s="68"/>
      <c r="F83" s="68"/>
      <c r="G83" s="68"/>
      <c r="H83" s="68"/>
    </row>
    <row r="84" spans="1:8" ht="47.25">
      <c r="A84" s="80" t="s">
        <v>767</v>
      </c>
      <c r="B84" s="75" t="s">
        <v>148</v>
      </c>
      <c r="C84" s="67" t="s">
        <v>146</v>
      </c>
      <c r="D84" s="68"/>
      <c r="E84" s="68"/>
      <c r="F84" s="68"/>
      <c r="G84" s="68"/>
      <c r="H84" s="68"/>
    </row>
    <row r="85" spans="1:8" ht="47.25">
      <c r="A85" s="80" t="s">
        <v>768</v>
      </c>
      <c r="B85" s="75" t="s">
        <v>149</v>
      </c>
      <c r="C85" s="67" t="s">
        <v>146</v>
      </c>
      <c r="D85" s="68"/>
      <c r="E85" s="68"/>
      <c r="F85" s="68"/>
      <c r="G85" s="68"/>
      <c r="H85" s="68"/>
    </row>
    <row r="86" spans="1:8" ht="47.25">
      <c r="A86" s="80" t="s">
        <v>769</v>
      </c>
      <c r="B86" s="75" t="s">
        <v>150</v>
      </c>
      <c r="C86" s="67" t="s">
        <v>146</v>
      </c>
      <c r="D86" s="68"/>
      <c r="E86" s="68"/>
      <c r="F86" s="68"/>
      <c r="G86" s="68"/>
      <c r="H86" s="68"/>
    </row>
    <row r="87" spans="1:8" ht="31.5">
      <c r="A87" s="67">
        <v>3.2</v>
      </c>
      <c r="B87" s="75" t="s">
        <v>151</v>
      </c>
      <c r="C87" s="67" t="s">
        <v>146</v>
      </c>
      <c r="D87" s="68"/>
      <c r="E87" s="68"/>
      <c r="F87" s="68"/>
      <c r="G87" s="68"/>
      <c r="H87" s="68"/>
    </row>
    <row r="88" spans="1:8" ht="31.5">
      <c r="A88" s="67">
        <v>3.3</v>
      </c>
      <c r="B88" s="75" t="s">
        <v>152</v>
      </c>
      <c r="C88" s="67" t="s">
        <v>146</v>
      </c>
      <c r="D88" s="68"/>
      <c r="E88" s="68"/>
      <c r="F88" s="68"/>
      <c r="G88" s="68"/>
      <c r="H88" s="68"/>
    </row>
    <row r="89" spans="1:8" ht="31.5">
      <c r="A89" s="67">
        <v>3.4</v>
      </c>
      <c r="B89" s="75" t="s">
        <v>153</v>
      </c>
      <c r="C89" s="67" t="s">
        <v>146</v>
      </c>
      <c r="D89" s="68"/>
      <c r="E89" s="68"/>
      <c r="F89" s="68"/>
      <c r="G89" s="68"/>
      <c r="H89" s="68"/>
    </row>
    <row r="90" spans="1:8" ht="31.5">
      <c r="A90" s="67">
        <v>3.5</v>
      </c>
      <c r="B90" s="75" t="s">
        <v>154</v>
      </c>
      <c r="C90" s="67" t="s">
        <v>146</v>
      </c>
      <c r="D90" s="68"/>
      <c r="E90" s="68"/>
      <c r="F90" s="68"/>
      <c r="G90" s="68"/>
      <c r="H90" s="68"/>
    </row>
    <row r="91" spans="1:8" ht="31.5">
      <c r="A91" s="67">
        <v>3.6</v>
      </c>
      <c r="B91" s="75" t="s">
        <v>155</v>
      </c>
      <c r="C91" s="67" t="s">
        <v>146</v>
      </c>
      <c r="D91" s="68"/>
      <c r="E91" s="68"/>
      <c r="F91" s="68"/>
      <c r="G91" s="68"/>
      <c r="H91" s="68"/>
    </row>
    <row r="92" spans="1:8" ht="31.5">
      <c r="A92" s="67">
        <v>3.7</v>
      </c>
      <c r="B92" s="75" t="s">
        <v>156</v>
      </c>
      <c r="C92" s="67" t="s">
        <v>146</v>
      </c>
      <c r="D92" s="68"/>
      <c r="E92" s="68"/>
      <c r="F92" s="68"/>
      <c r="G92" s="68"/>
      <c r="H92" s="68"/>
    </row>
    <row r="93" spans="1:8" ht="47.25">
      <c r="A93" s="67">
        <v>3.8</v>
      </c>
      <c r="B93" s="75" t="s">
        <v>157</v>
      </c>
      <c r="C93" s="67" t="s">
        <v>146</v>
      </c>
      <c r="D93" s="68"/>
      <c r="E93" s="68"/>
      <c r="F93" s="68"/>
      <c r="G93" s="68"/>
      <c r="H93" s="68"/>
    </row>
    <row r="94" spans="1:8" ht="31.5">
      <c r="A94" s="80" t="s">
        <v>770</v>
      </c>
      <c r="B94" s="75" t="s">
        <v>158</v>
      </c>
      <c r="C94" s="67" t="s">
        <v>146</v>
      </c>
      <c r="D94" s="68"/>
      <c r="E94" s="68"/>
      <c r="F94" s="68"/>
      <c r="G94" s="68"/>
      <c r="H94" s="68"/>
    </row>
    <row r="95" spans="1:8" ht="31.5">
      <c r="A95" s="80" t="s">
        <v>771</v>
      </c>
      <c r="B95" s="75" t="s">
        <v>159</v>
      </c>
      <c r="C95" s="67" t="s">
        <v>146</v>
      </c>
      <c r="D95" s="68"/>
      <c r="E95" s="68"/>
      <c r="F95" s="68"/>
      <c r="G95" s="68"/>
      <c r="H95" s="68"/>
    </row>
    <row r="96" spans="1:8" ht="31.5">
      <c r="A96" s="67">
        <v>3.9</v>
      </c>
      <c r="B96" s="76" t="s">
        <v>160</v>
      </c>
      <c r="C96" s="67" t="s">
        <v>146</v>
      </c>
      <c r="D96" s="68"/>
      <c r="E96" s="68"/>
      <c r="F96" s="68"/>
      <c r="G96" s="68"/>
      <c r="H96" s="68"/>
    </row>
    <row r="97" spans="1:8" ht="31.5">
      <c r="A97" s="67" t="s">
        <v>204</v>
      </c>
      <c r="B97" s="68" t="s">
        <v>205</v>
      </c>
      <c r="C97" s="67" t="s">
        <v>146</v>
      </c>
      <c r="D97" s="68"/>
      <c r="E97" s="68"/>
      <c r="F97" s="68"/>
      <c r="G97" s="68"/>
      <c r="H97" s="68"/>
    </row>
    <row r="98" spans="1:8" ht="31.5">
      <c r="A98" s="67">
        <v>4.0999999999999996</v>
      </c>
      <c r="B98" s="75" t="s">
        <v>206</v>
      </c>
      <c r="C98" s="67" t="s">
        <v>146</v>
      </c>
      <c r="D98" s="68"/>
      <c r="E98" s="68"/>
      <c r="F98" s="68"/>
      <c r="G98" s="68"/>
      <c r="H98" s="68"/>
    </row>
    <row r="99" spans="1:8" ht="31.5">
      <c r="A99" s="80" t="s">
        <v>773</v>
      </c>
      <c r="B99" s="75" t="s">
        <v>207</v>
      </c>
      <c r="C99" s="67" t="s">
        <v>146</v>
      </c>
      <c r="D99" s="68"/>
      <c r="E99" s="68"/>
      <c r="F99" s="68"/>
      <c r="G99" s="68"/>
      <c r="H99" s="68"/>
    </row>
    <row r="100" spans="1:8" ht="31.5">
      <c r="A100" s="80" t="s">
        <v>772</v>
      </c>
      <c r="B100" s="75" t="s">
        <v>208</v>
      </c>
      <c r="C100" s="67" t="s">
        <v>146</v>
      </c>
      <c r="D100" s="68"/>
      <c r="E100" s="68"/>
      <c r="F100" s="68"/>
      <c r="G100" s="68"/>
      <c r="H100" s="68"/>
    </row>
    <row r="101" spans="1:8" ht="31.5">
      <c r="A101" s="80" t="s">
        <v>774</v>
      </c>
      <c r="B101" s="75" t="s">
        <v>209</v>
      </c>
      <c r="C101" s="67" t="s">
        <v>146</v>
      </c>
      <c r="D101" s="68"/>
      <c r="E101" s="68"/>
      <c r="F101" s="68"/>
      <c r="G101" s="68"/>
      <c r="H101" s="68"/>
    </row>
    <row r="102" spans="1:8" ht="31.5">
      <c r="A102" s="67" t="s">
        <v>210</v>
      </c>
      <c r="B102" s="75" t="s">
        <v>211</v>
      </c>
      <c r="C102" s="67" t="s">
        <v>146</v>
      </c>
      <c r="D102" s="68"/>
      <c r="E102" s="68"/>
      <c r="F102" s="68"/>
      <c r="G102" s="68"/>
      <c r="H102" s="68"/>
    </row>
    <row r="103" spans="1:8" ht="31.5">
      <c r="A103" s="80" t="s">
        <v>775</v>
      </c>
      <c r="B103" s="75" t="s">
        <v>212</v>
      </c>
      <c r="C103" s="67" t="s">
        <v>146</v>
      </c>
      <c r="D103" s="68"/>
      <c r="E103" s="68"/>
      <c r="F103" s="68"/>
      <c r="G103" s="68"/>
      <c r="H103" s="68"/>
    </row>
    <row r="104" spans="1:8" ht="31.5">
      <c r="A104" s="67">
        <v>4.2</v>
      </c>
      <c r="B104" s="75" t="s">
        <v>193</v>
      </c>
      <c r="C104" s="67" t="s">
        <v>146</v>
      </c>
      <c r="D104" s="68"/>
      <c r="E104" s="68"/>
      <c r="F104" s="68"/>
      <c r="G104" s="68"/>
      <c r="H104" s="68"/>
    </row>
    <row r="105" spans="1:8" ht="31.5">
      <c r="A105" s="80" t="s">
        <v>776</v>
      </c>
      <c r="B105" s="75" t="s">
        <v>213</v>
      </c>
      <c r="C105" s="67" t="s">
        <v>146</v>
      </c>
      <c r="D105" s="68"/>
      <c r="E105" s="68"/>
      <c r="F105" s="68"/>
      <c r="G105" s="68"/>
      <c r="H105" s="68"/>
    </row>
    <row r="106" spans="1:8" ht="31.5">
      <c r="A106" s="80" t="s">
        <v>777</v>
      </c>
      <c r="B106" s="75" t="s">
        <v>214</v>
      </c>
      <c r="C106" s="67" t="s">
        <v>146</v>
      </c>
      <c r="D106" s="68"/>
      <c r="E106" s="68"/>
      <c r="F106" s="68"/>
      <c r="G106" s="68"/>
      <c r="H106" s="68"/>
    </row>
    <row r="107" spans="1:8" ht="31.5">
      <c r="A107" s="80" t="s">
        <v>778</v>
      </c>
      <c r="B107" s="75" t="s">
        <v>215</v>
      </c>
      <c r="C107" s="67" t="s">
        <v>146</v>
      </c>
      <c r="D107" s="68"/>
      <c r="E107" s="68"/>
      <c r="F107" s="68"/>
      <c r="G107" s="68"/>
      <c r="H107" s="68"/>
    </row>
    <row r="108" spans="1:8" ht="31.5">
      <c r="A108" s="67" t="s">
        <v>216</v>
      </c>
      <c r="B108" s="75" t="s">
        <v>211</v>
      </c>
      <c r="C108" s="67" t="s">
        <v>146</v>
      </c>
      <c r="D108" s="68"/>
      <c r="E108" s="68"/>
      <c r="F108" s="68"/>
      <c r="G108" s="68"/>
      <c r="H108" s="68"/>
    </row>
    <row r="109" spans="1:8" ht="31.5">
      <c r="A109" s="80" t="s">
        <v>779</v>
      </c>
      <c r="B109" s="75" t="s">
        <v>217</v>
      </c>
      <c r="C109" s="67" t="s">
        <v>146</v>
      </c>
      <c r="D109" s="68"/>
      <c r="E109" s="68"/>
      <c r="F109" s="68"/>
      <c r="G109" s="68"/>
      <c r="H109" s="68"/>
    </row>
    <row r="110" spans="1:8" ht="47.25">
      <c r="A110" s="67" t="s">
        <v>218</v>
      </c>
      <c r="B110" s="68" t="s">
        <v>219</v>
      </c>
      <c r="C110" s="67" t="s">
        <v>146</v>
      </c>
      <c r="D110" s="68"/>
      <c r="E110" s="68"/>
      <c r="F110" s="68"/>
      <c r="G110" s="68"/>
      <c r="H110" s="68"/>
    </row>
    <row r="111" spans="1:8" ht="47.25">
      <c r="A111" s="67">
        <v>5.0999999999999996</v>
      </c>
      <c r="B111" s="75" t="s">
        <v>220</v>
      </c>
      <c r="C111" s="67" t="s">
        <v>146</v>
      </c>
      <c r="D111" s="68"/>
      <c r="E111" s="68"/>
      <c r="F111" s="68"/>
      <c r="G111" s="68"/>
      <c r="H111" s="68"/>
    </row>
    <row r="112" spans="1:8" ht="47.25">
      <c r="A112" s="80" t="s">
        <v>780</v>
      </c>
      <c r="B112" s="75" t="s">
        <v>148</v>
      </c>
      <c r="C112" s="67" t="s">
        <v>146</v>
      </c>
      <c r="D112" s="68"/>
      <c r="E112" s="68"/>
      <c r="F112" s="68"/>
      <c r="G112" s="68"/>
      <c r="H112" s="68"/>
    </row>
    <row r="113" spans="1:8" ht="47.25">
      <c r="A113" s="80" t="s">
        <v>781</v>
      </c>
      <c r="B113" s="75" t="s">
        <v>149</v>
      </c>
      <c r="C113" s="67" t="s">
        <v>146</v>
      </c>
      <c r="D113" s="68"/>
      <c r="E113" s="68"/>
      <c r="F113" s="68"/>
      <c r="G113" s="68"/>
      <c r="H113" s="68"/>
    </row>
    <row r="114" spans="1:8" ht="47.25">
      <c r="A114" s="80" t="s">
        <v>782</v>
      </c>
      <c r="B114" s="75" t="s">
        <v>150</v>
      </c>
      <c r="C114" s="67" t="s">
        <v>146</v>
      </c>
      <c r="D114" s="68"/>
      <c r="E114" s="68"/>
      <c r="F114" s="68"/>
      <c r="G114" s="68"/>
      <c r="H114" s="68"/>
    </row>
    <row r="115" spans="1:8" ht="31.5">
      <c r="A115" s="67">
        <v>5.2</v>
      </c>
      <c r="B115" s="75" t="s">
        <v>151</v>
      </c>
      <c r="C115" s="67" t="s">
        <v>146</v>
      </c>
      <c r="D115" s="68"/>
      <c r="E115" s="68"/>
      <c r="F115" s="68"/>
      <c r="G115" s="68"/>
      <c r="H115" s="68"/>
    </row>
    <row r="116" spans="1:8" ht="31.5">
      <c r="A116" s="67">
        <v>5.3</v>
      </c>
      <c r="B116" s="75" t="s">
        <v>152</v>
      </c>
      <c r="C116" s="67" t="s">
        <v>146</v>
      </c>
      <c r="D116" s="68"/>
      <c r="E116" s="68"/>
      <c r="F116" s="68"/>
      <c r="G116" s="68"/>
      <c r="H116" s="68"/>
    </row>
    <row r="117" spans="1:8" ht="31.5">
      <c r="A117" s="67">
        <v>5.4</v>
      </c>
      <c r="B117" s="75" t="s">
        <v>153</v>
      </c>
      <c r="C117" s="67" t="s">
        <v>146</v>
      </c>
      <c r="D117" s="68"/>
      <c r="E117" s="68"/>
      <c r="F117" s="68"/>
      <c r="G117" s="68"/>
      <c r="H117" s="68"/>
    </row>
    <row r="118" spans="1:8" ht="31.5">
      <c r="A118" s="67">
        <v>5.5</v>
      </c>
      <c r="B118" s="75" t="s">
        <v>154</v>
      </c>
      <c r="C118" s="67" t="s">
        <v>146</v>
      </c>
      <c r="D118" s="68"/>
      <c r="E118" s="68"/>
      <c r="F118" s="68"/>
      <c r="G118" s="68"/>
      <c r="H118" s="68"/>
    </row>
    <row r="119" spans="1:8" ht="31.5">
      <c r="A119" s="67">
        <v>5.6</v>
      </c>
      <c r="B119" s="75" t="s">
        <v>155</v>
      </c>
      <c r="C119" s="67" t="s">
        <v>146</v>
      </c>
      <c r="D119" s="68"/>
      <c r="E119" s="68"/>
      <c r="F119" s="68"/>
      <c r="G119" s="68"/>
      <c r="H119" s="68"/>
    </row>
    <row r="120" spans="1:8" ht="31.5">
      <c r="A120" s="67">
        <v>5.7</v>
      </c>
      <c r="B120" s="75" t="s">
        <v>156</v>
      </c>
      <c r="C120" s="67" t="s">
        <v>146</v>
      </c>
      <c r="D120" s="68"/>
      <c r="E120" s="68"/>
      <c r="F120" s="68"/>
      <c r="G120" s="68"/>
      <c r="H120" s="68"/>
    </row>
    <row r="121" spans="1:8" ht="47.25">
      <c r="A121" s="67">
        <v>5.8</v>
      </c>
      <c r="B121" s="75" t="s">
        <v>157</v>
      </c>
      <c r="C121" s="67" t="s">
        <v>146</v>
      </c>
      <c r="D121" s="68"/>
      <c r="E121" s="68"/>
      <c r="F121" s="68"/>
      <c r="G121" s="68"/>
      <c r="H121" s="68"/>
    </row>
    <row r="122" spans="1:8" ht="31.5">
      <c r="A122" s="80" t="s">
        <v>783</v>
      </c>
      <c r="B122" s="75" t="s">
        <v>158</v>
      </c>
      <c r="C122" s="67" t="s">
        <v>146</v>
      </c>
      <c r="D122" s="68"/>
      <c r="E122" s="68"/>
      <c r="F122" s="68"/>
      <c r="G122" s="68"/>
      <c r="H122" s="68"/>
    </row>
    <row r="123" spans="1:8" ht="31.5">
      <c r="A123" s="80" t="s">
        <v>784</v>
      </c>
      <c r="B123" s="75" t="s">
        <v>159</v>
      </c>
      <c r="C123" s="67" t="s">
        <v>146</v>
      </c>
      <c r="D123" s="68"/>
      <c r="E123" s="68"/>
      <c r="F123" s="68"/>
      <c r="G123" s="68"/>
      <c r="H123" s="68"/>
    </row>
    <row r="124" spans="1:8" ht="31.5">
      <c r="A124" s="67">
        <v>5.9</v>
      </c>
      <c r="B124" s="76" t="s">
        <v>160</v>
      </c>
      <c r="C124" s="67" t="s">
        <v>146</v>
      </c>
      <c r="D124" s="68"/>
      <c r="E124" s="68"/>
      <c r="F124" s="68"/>
      <c r="G124" s="68"/>
      <c r="H124" s="68"/>
    </row>
    <row r="125" spans="1:8" ht="31.5">
      <c r="A125" s="67" t="s">
        <v>221</v>
      </c>
      <c r="B125" s="68" t="s">
        <v>222</v>
      </c>
      <c r="C125" s="67" t="s">
        <v>146</v>
      </c>
      <c r="D125" s="68"/>
      <c r="E125" s="68"/>
      <c r="F125" s="68"/>
      <c r="G125" s="68"/>
      <c r="H125" s="68"/>
    </row>
    <row r="126" spans="1:8" ht="31.5">
      <c r="A126" s="67">
        <v>6.1</v>
      </c>
      <c r="B126" s="75" t="s">
        <v>147</v>
      </c>
      <c r="C126" s="67" t="s">
        <v>146</v>
      </c>
      <c r="D126" s="68"/>
      <c r="E126" s="68"/>
      <c r="F126" s="68"/>
      <c r="G126" s="68"/>
      <c r="H126" s="68"/>
    </row>
    <row r="127" spans="1:8" ht="47.25">
      <c r="A127" s="80" t="s">
        <v>785</v>
      </c>
      <c r="B127" s="75" t="s">
        <v>148</v>
      </c>
      <c r="C127" s="67" t="s">
        <v>146</v>
      </c>
      <c r="D127" s="68"/>
      <c r="E127" s="68"/>
      <c r="F127" s="68"/>
      <c r="G127" s="68"/>
      <c r="H127" s="68"/>
    </row>
    <row r="128" spans="1:8" ht="47.25">
      <c r="A128" s="80" t="s">
        <v>786</v>
      </c>
      <c r="B128" s="75" t="s">
        <v>149</v>
      </c>
      <c r="C128" s="67" t="s">
        <v>146</v>
      </c>
      <c r="D128" s="68"/>
      <c r="E128" s="68"/>
      <c r="F128" s="68"/>
      <c r="G128" s="68"/>
      <c r="H128" s="68"/>
    </row>
    <row r="129" spans="1:8" ht="47.25">
      <c r="A129" s="80" t="s">
        <v>787</v>
      </c>
      <c r="B129" s="75" t="s">
        <v>150</v>
      </c>
      <c r="C129" s="67" t="s">
        <v>146</v>
      </c>
      <c r="D129" s="68"/>
      <c r="E129" s="68"/>
      <c r="F129" s="68"/>
      <c r="G129" s="68"/>
      <c r="H129" s="68"/>
    </row>
    <row r="130" spans="1:8" ht="31.5">
      <c r="A130" s="67">
        <v>6.2</v>
      </c>
      <c r="B130" s="75" t="s">
        <v>223</v>
      </c>
      <c r="C130" s="67" t="s">
        <v>146</v>
      </c>
      <c r="D130" s="68"/>
      <c r="E130" s="68"/>
      <c r="F130" s="68"/>
      <c r="G130" s="68"/>
      <c r="H130" s="68"/>
    </row>
    <row r="131" spans="1:8" ht="31.5">
      <c r="A131" s="67">
        <v>6.3</v>
      </c>
      <c r="B131" s="75" t="s">
        <v>224</v>
      </c>
      <c r="C131" s="67" t="s">
        <v>146</v>
      </c>
      <c r="D131" s="68"/>
      <c r="E131" s="68"/>
      <c r="F131" s="68"/>
      <c r="G131" s="68"/>
      <c r="H131" s="68"/>
    </row>
    <row r="132" spans="1:8" ht="31.5">
      <c r="A132" s="67">
        <v>6.4</v>
      </c>
      <c r="B132" s="75" t="s">
        <v>225</v>
      </c>
      <c r="C132" s="67" t="s">
        <v>146</v>
      </c>
      <c r="D132" s="68"/>
      <c r="E132" s="68"/>
      <c r="F132" s="68"/>
      <c r="G132" s="68"/>
      <c r="H132" s="68"/>
    </row>
    <row r="133" spans="1:8" ht="31.5">
      <c r="A133" s="67">
        <v>6.5</v>
      </c>
      <c r="B133" s="75" t="s">
        <v>226</v>
      </c>
      <c r="C133" s="67" t="s">
        <v>146</v>
      </c>
      <c r="D133" s="68"/>
      <c r="E133" s="68"/>
      <c r="F133" s="68"/>
      <c r="G133" s="68"/>
      <c r="H133" s="68"/>
    </row>
    <row r="134" spans="1:8" ht="31.5">
      <c r="A134" s="67">
        <v>6.6</v>
      </c>
      <c r="B134" s="75" t="s">
        <v>227</v>
      </c>
      <c r="C134" s="67" t="s">
        <v>146</v>
      </c>
      <c r="D134" s="68"/>
      <c r="E134" s="68"/>
      <c r="F134" s="68"/>
      <c r="G134" s="68"/>
      <c r="H134" s="68"/>
    </row>
    <row r="135" spans="1:8" ht="31.5">
      <c r="A135" s="67">
        <v>6.7</v>
      </c>
      <c r="B135" s="75" t="s">
        <v>228</v>
      </c>
      <c r="C135" s="67" t="s">
        <v>146</v>
      </c>
      <c r="D135" s="68"/>
      <c r="E135" s="68"/>
      <c r="F135" s="68"/>
      <c r="G135" s="68"/>
      <c r="H135" s="68"/>
    </row>
    <row r="136" spans="1:8" ht="47.25">
      <c r="A136" s="67">
        <v>6.8</v>
      </c>
      <c r="B136" s="75" t="s">
        <v>157</v>
      </c>
      <c r="C136" s="67" t="s">
        <v>146</v>
      </c>
      <c r="D136" s="68"/>
      <c r="E136" s="68"/>
      <c r="F136" s="68"/>
      <c r="G136" s="68"/>
      <c r="H136" s="68"/>
    </row>
    <row r="137" spans="1:8" ht="31.5">
      <c r="A137" s="80" t="s">
        <v>788</v>
      </c>
      <c r="B137" s="75" t="s">
        <v>158</v>
      </c>
      <c r="C137" s="67" t="s">
        <v>146</v>
      </c>
      <c r="D137" s="68"/>
      <c r="E137" s="68"/>
      <c r="F137" s="68"/>
      <c r="G137" s="68"/>
      <c r="H137" s="68"/>
    </row>
    <row r="138" spans="1:8" ht="31.5">
      <c r="A138" s="80" t="s">
        <v>789</v>
      </c>
      <c r="B138" s="75" t="s">
        <v>159</v>
      </c>
      <c r="C138" s="67" t="s">
        <v>146</v>
      </c>
      <c r="D138" s="68"/>
      <c r="E138" s="68"/>
      <c r="F138" s="68"/>
      <c r="G138" s="68"/>
      <c r="H138" s="68"/>
    </row>
    <row r="139" spans="1:8" ht="31.5">
      <c r="A139" s="67">
        <v>6.9</v>
      </c>
      <c r="B139" s="68" t="s">
        <v>229</v>
      </c>
      <c r="C139" s="67" t="s">
        <v>146</v>
      </c>
      <c r="D139" s="68"/>
      <c r="E139" s="68"/>
      <c r="F139" s="68"/>
      <c r="G139" s="68"/>
      <c r="H139" s="68"/>
    </row>
    <row r="140" spans="1:8" ht="31.5">
      <c r="A140" s="67" t="s">
        <v>230</v>
      </c>
      <c r="B140" s="68" t="s">
        <v>231</v>
      </c>
      <c r="C140" s="67" t="s">
        <v>146</v>
      </c>
      <c r="D140" s="68"/>
      <c r="E140" s="68"/>
      <c r="F140" s="68"/>
      <c r="G140" s="68"/>
      <c r="H140" s="68"/>
    </row>
    <row r="141" spans="1:8" ht="31.5">
      <c r="A141" s="67">
        <v>7.1</v>
      </c>
      <c r="B141" s="75" t="s">
        <v>147</v>
      </c>
      <c r="C141" s="67" t="s">
        <v>146</v>
      </c>
      <c r="D141" s="68"/>
      <c r="E141" s="68"/>
      <c r="F141" s="68"/>
      <c r="G141" s="68"/>
      <c r="H141" s="68"/>
    </row>
    <row r="142" spans="1:8" ht="47.25">
      <c r="A142" s="80" t="s">
        <v>790</v>
      </c>
      <c r="B142" s="75" t="s">
        <v>148</v>
      </c>
      <c r="C142" s="67" t="s">
        <v>146</v>
      </c>
      <c r="D142" s="68"/>
      <c r="E142" s="68"/>
      <c r="F142" s="68"/>
      <c r="G142" s="68"/>
      <c r="H142" s="68"/>
    </row>
    <row r="143" spans="1:8" ht="47.25">
      <c r="A143" s="80" t="s">
        <v>791</v>
      </c>
      <c r="B143" s="75" t="s">
        <v>149</v>
      </c>
      <c r="C143" s="67" t="s">
        <v>146</v>
      </c>
      <c r="D143" s="68"/>
      <c r="E143" s="68"/>
      <c r="F143" s="68"/>
      <c r="G143" s="68"/>
      <c r="H143" s="68"/>
    </row>
    <row r="144" spans="1:8" ht="47.25">
      <c r="A144" s="80" t="s">
        <v>792</v>
      </c>
      <c r="B144" s="75" t="s">
        <v>150</v>
      </c>
      <c r="C144" s="67" t="s">
        <v>146</v>
      </c>
      <c r="D144" s="68"/>
      <c r="E144" s="68"/>
      <c r="F144" s="68"/>
      <c r="G144" s="68"/>
      <c r="H144" s="68"/>
    </row>
    <row r="145" spans="1:8" ht="31.5">
      <c r="A145" s="67">
        <v>7.2</v>
      </c>
      <c r="B145" s="75" t="s">
        <v>151</v>
      </c>
      <c r="C145" s="67" t="s">
        <v>146</v>
      </c>
      <c r="D145" s="68"/>
      <c r="E145" s="68"/>
      <c r="F145" s="68"/>
      <c r="G145" s="68"/>
      <c r="H145" s="68"/>
    </row>
    <row r="146" spans="1:8" ht="31.5">
      <c r="A146" s="67">
        <v>7.3</v>
      </c>
      <c r="B146" s="75" t="s">
        <v>152</v>
      </c>
      <c r="C146" s="67" t="s">
        <v>146</v>
      </c>
      <c r="D146" s="68"/>
      <c r="E146" s="68"/>
      <c r="F146" s="68"/>
      <c r="G146" s="68"/>
      <c r="H146" s="68"/>
    </row>
    <row r="147" spans="1:8" ht="31.5">
      <c r="A147" s="67">
        <v>7.4</v>
      </c>
      <c r="B147" s="75" t="s">
        <v>153</v>
      </c>
      <c r="C147" s="67" t="s">
        <v>146</v>
      </c>
      <c r="D147" s="68"/>
      <c r="E147" s="68"/>
      <c r="F147" s="68"/>
      <c r="G147" s="68"/>
      <c r="H147" s="68"/>
    </row>
    <row r="148" spans="1:8" ht="31.5">
      <c r="A148" s="67">
        <v>7.5</v>
      </c>
      <c r="B148" s="75" t="s">
        <v>154</v>
      </c>
      <c r="C148" s="67" t="s">
        <v>146</v>
      </c>
      <c r="D148" s="68"/>
      <c r="E148" s="68"/>
      <c r="F148" s="68"/>
      <c r="G148" s="68"/>
      <c r="H148" s="68"/>
    </row>
    <row r="149" spans="1:8" ht="31.5">
      <c r="A149" s="67">
        <v>7.6</v>
      </c>
      <c r="B149" s="75" t="s">
        <v>155</v>
      </c>
      <c r="C149" s="67" t="s">
        <v>146</v>
      </c>
      <c r="D149" s="68"/>
      <c r="E149" s="68"/>
      <c r="F149" s="68"/>
      <c r="G149" s="68"/>
      <c r="H149" s="68"/>
    </row>
    <row r="150" spans="1:8" ht="31.5">
      <c r="A150" s="67">
        <v>7.7</v>
      </c>
      <c r="B150" s="75" t="s">
        <v>156</v>
      </c>
      <c r="C150" s="67" t="s">
        <v>146</v>
      </c>
      <c r="D150" s="68"/>
      <c r="E150" s="68"/>
      <c r="F150" s="68"/>
      <c r="G150" s="68"/>
      <c r="H150" s="68"/>
    </row>
    <row r="151" spans="1:8" ht="47.25">
      <c r="A151" s="67">
        <v>7.8</v>
      </c>
      <c r="B151" s="75" t="s">
        <v>157</v>
      </c>
      <c r="C151" s="67" t="s">
        <v>146</v>
      </c>
      <c r="D151" s="68"/>
      <c r="E151" s="68"/>
      <c r="F151" s="68"/>
      <c r="G151" s="68"/>
      <c r="H151" s="68"/>
    </row>
    <row r="152" spans="1:8" ht="31.5">
      <c r="A152" s="80" t="s">
        <v>793</v>
      </c>
      <c r="B152" s="75" t="s">
        <v>158</v>
      </c>
      <c r="C152" s="67" t="s">
        <v>146</v>
      </c>
      <c r="D152" s="68"/>
      <c r="E152" s="68"/>
      <c r="F152" s="68"/>
      <c r="G152" s="68"/>
      <c r="H152" s="68"/>
    </row>
    <row r="153" spans="1:8" ht="31.5">
      <c r="A153" s="80" t="s">
        <v>794</v>
      </c>
      <c r="B153" s="75" t="s">
        <v>159</v>
      </c>
      <c r="C153" s="67" t="s">
        <v>146</v>
      </c>
      <c r="D153" s="68"/>
      <c r="E153" s="68"/>
      <c r="F153" s="68"/>
      <c r="G153" s="68"/>
      <c r="H153" s="68"/>
    </row>
    <row r="154" spans="1:8" ht="31.5">
      <c r="A154" s="67">
        <v>7.9</v>
      </c>
      <c r="B154" s="76" t="s">
        <v>160</v>
      </c>
      <c r="C154" s="67" t="s">
        <v>146</v>
      </c>
      <c r="D154" s="68"/>
      <c r="E154" s="68"/>
      <c r="F154" s="68"/>
      <c r="G154" s="68"/>
      <c r="H154" s="68"/>
    </row>
    <row r="155" spans="1:8" ht="31.5">
      <c r="A155" s="80" t="s">
        <v>795</v>
      </c>
      <c r="B155" s="75" t="s">
        <v>234</v>
      </c>
      <c r="C155" s="67" t="s">
        <v>146</v>
      </c>
      <c r="D155" s="68"/>
      <c r="E155" s="68"/>
      <c r="F155" s="68"/>
      <c r="G155" s="68"/>
      <c r="H155" s="68"/>
    </row>
    <row r="156" spans="1:8" ht="31.5">
      <c r="A156" s="67">
        <v>15.2</v>
      </c>
      <c r="B156" s="75" t="s">
        <v>235</v>
      </c>
      <c r="C156" s="67" t="s">
        <v>146</v>
      </c>
      <c r="D156" s="68"/>
      <c r="E156" s="68"/>
      <c r="F156" s="68"/>
      <c r="G156" s="68"/>
      <c r="H156" s="68"/>
    </row>
    <row r="157" spans="1:8" ht="31.5">
      <c r="A157" s="67">
        <v>15.3</v>
      </c>
      <c r="B157" s="75" t="s">
        <v>236</v>
      </c>
      <c r="C157" s="67" t="s">
        <v>146</v>
      </c>
      <c r="D157" s="68"/>
      <c r="E157" s="68"/>
      <c r="F157" s="68"/>
      <c r="G157" s="68"/>
      <c r="H157" s="68"/>
    </row>
    <row r="158" spans="1:8" ht="47.25">
      <c r="A158" s="67" t="s">
        <v>237</v>
      </c>
      <c r="B158" s="68" t="s">
        <v>642</v>
      </c>
      <c r="C158" s="67" t="s">
        <v>146</v>
      </c>
      <c r="D158" s="68"/>
      <c r="E158" s="68"/>
      <c r="F158" s="68"/>
      <c r="G158" s="68"/>
      <c r="H158" s="68"/>
    </row>
    <row r="159" spans="1:8" ht="63">
      <c r="A159" s="67" t="s">
        <v>239</v>
      </c>
      <c r="B159" s="68" t="s">
        <v>643</v>
      </c>
      <c r="C159" s="67" t="s">
        <v>146</v>
      </c>
      <c r="D159" s="68"/>
      <c r="E159" s="68"/>
      <c r="F159" s="68"/>
      <c r="G159" s="68"/>
      <c r="H159" s="68"/>
    </row>
    <row r="160" spans="1:8" ht="31.5">
      <c r="A160" s="67">
        <v>17.100000000000001</v>
      </c>
      <c r="B160" s="75" t="s">
        <v>241</v>
      </c>
      <c r="C160" s="67" t="s">
        <v>146</v>
      </c>
      <c r="D160" s="68"/>
      <c r="E160" s="68"/>
      <c r="F160" s="68"/>
      <c r="G160" s="68"/>
      <c r="H160" s="68"/>
    </row>
    <row r="161" spans="1:8" ht="31.5">
      <c r="A161" s="67">
        <v>17.2</v>
      </c>
      <c r="B161" s="75" t="s">
        <v>242</v>
      </c>
      <c r="C161" s="67" t="s">
        <v>146</v>
      </c>
      <c r="D161" s="68"/>
      <c r="E161" s="68"/>
      <c r="F161" s="68"/>
      <c r="G161" s="68"/>
      <c r="H161" s="68"/>
    </row>
    <row r="162" spans="1:8" ht="47.25">
      <c r="A162" s="67" t="s">
        <v>243</v>
      </c>
      <c r="B162" s="68" t="s">
        <v>644</v>
      </c>
      <c r="C162" s="67" t="s">
        <v>146</v>
      </c>
      <c r="D162" s="68"/>
      <c r="E162" s="68"/>
      <c r="F162" s="68"/>
      <c r="G162" s="68"/>
      <c r="H162" s="68"/>
    </row>
    <row r="163" spans="1:8" ht="47.25">
      <c r="A163" s="67">
        <v>18.100000000000001</v>
      </c>
      <c r="B163" s="75" t="s">
        <v>245</v>
      </c>
      <c r="C163" s="67" t="s">
        <v>146</v>
      </c>
      <c r="D163" s="68"/>
      <c r="E163" s="68"/>
      <c r="F163" s="68"/>
      <c r="G163" s="68"/>
      <c r="H163" s="68"/>
    </row>
    <row r="164" spans="1:8" ht="31.5">
      <c r="A164" s="67">
        <v>18.2</v>
      </c>
      <c r="B164" s="75" t="s">
        <v>246</v>
      </c>
      <c r="C164" s="67" t="s">
        <v>146</v>
      </c>
      <c r="D164" s="68"/>
      <c r="E164" s="68"/>
      <c r="F164" s="68"/>
      <c r="G164" s="68"/>
      <c r="H164" s="68"/>
    </row>
    <row r="165" spans="1:8" ht="31.5">
      <c r="A165" s="67" t="s">
        <v>247</v>
      </c>
      <c r="B165" s="68" t="s">
        <v>248</v>
      </c>
      <c r="C165" s="67" t="s">
        <v>146</v>
      </c>
      <c r="D165" s="68"/>
      <c r="E165" s="68"/>
      <c r="F165" s="68"/>
      <c r="G165" s="68"/>
      <c r="H165" s="68"/>
    </row>
    <row r="166" spans="1:8" ht="47.25">
      <c r="A166" s="67" t="s">
        <v>249</v>
      </c>
      <c r="B166" s="68" t="s">
        <v>250</v>
      </c>
      <c r="C166" s="67" t="s">
        <v>146</v>
      </c>
      <c r="D166" s="68"/>
      <c r="E166" s="68"/>
      <c r="F166" s="68"/>
      <c r="G166" s="68"/>
      <c r="H166" s="68"/>
    </row>
    <row r="167" spans="1:8" ht="31.5">
      <c r="A167" s="67" t="s">
        <v>251</v>
      </c>
      <c r="B167" s="68" t="s">
        <v>252</v>
      </c>
      <c r="C167" s="67" t="s">
        <v>146</v>
      </c>
      <c r="D167" s="68"/>
      <c r="E167" s="68"/>
      <c r="F167" s="68"/>
      <c r="G167" s="68"/>
      <c r="H167" s="68"/>
    </row>
    <row r="168" spans="1:8" ht="31.5">
      <c r="A168" s="67" t="s">
        <v>253</v>
      </c>
      <c r="B168" s="68" t="s">
        <v>254</v>
      </c>
      <c r="C168" s="67" t="s">
        <v>146</v>
      </c>
      <c r="D168" s="68"/>
      <c r="E168" s="68"/>
      <c r="F168" s="68"/>
      <c r="G168" s="68"/>
      <c r="H168" s="68"/>
    </row>
    <row r="169" spans="1:8">
      <c r="A169" s="67" t="s">
        <v>255</v>
      </c>
      <c r="B169" s="68" t="s">
        <v>198</v>
      </c>
      <c r="C169" s="67" t="s">
        <v>256</v>
      </c>
      <c r="D169" s="68"/>
      <c r="E169" s="68"/>
      <c r="F169" s="68"/>
      <c r="G169" s="68"/>
      <c r="H169" s="68"/>
    </row>
    <row r="170" spans="1:8" ht="31.5">
      <c r="A170" s="67">
        <v>23.1</v>
      </c>
      <c r="B170" s="75" t="s">
        <v>257</v>
      </c>
      <c r="C170" s="67" t="s">
        <v>146</v>
      </c>
      <c r="D170" s="68"/>
      <c r="E170" s="68"/>
      <c r="F170" s="68"/>
      <c r="G170" s="68"/>
      <c r="H170" s="68"/>
    </row>
    <row r="171" spans="1:8" ht="31.5">
      <c r="A171" s="80" t="s">
        <v>796</v>
      </c>
      <c r="B171" s="75" t="s">
        <v>258</v>
      </c>
      <c r="C171" s="67" t="s">
        <v>146</v>
      </c>
      <c r="D171" s="68"/>
      <c r="E171" s="68"/>
      <c r="F171" s="68"/>
      <c r="G171" s="68"/>
      <c r="H171" s="68"/>
    </row>
    <row r="172" spans="1:8" ht="31.5">
      <c r="A172" s="67" t="s">
        <v>259</v>
      </c>
      <c r="B172" s="75" t="s">
        <v>260</v>
      </c>
      <c r="C172" s="67" t="s">
        <v>146</v>
      </c>
      <c r="D172" s="68"/>
      <c r="E172" s="68"/>
      <c r="F172" s="68"/>
      <c r="G172" s="68"/>
      <c r="H172" s="68"/>
    </row>
    <row r="173" spans="1:8" ht="47.25">
      <c r="A173" s="67" t="s">
        <v>261</v>
      </c>
      <c r="B173" s="75" t="s">
        <v>148</v>
      </c>
      <c r="C173" s="67" t="s">
        <v>146</v>
      </c>
      <c r="D173" s="68"/>
      <c r="E173" s="68"/>
      <c r="F173" s="68"/>
      <c r="G173" s="68"/>
      <c r="H173" s="68"/>
    </row>
    <row r="174" spans="1:8" ht="31.5">
      <c r="A174" s="67" t="s">
        <v>262</v>
      </c>
      <c r="B174" s="75" t="s">
        <v>260</v>
      </c>
      <c r="C174" s="67" t="s">
        <v>146</v>
      </c>
      <c r="D174" s="68"/>
      <c r="E174" s="68"/>
      <c r="F174" s="68"/>
      <c r="G174" s="68"/>
      <c r="H174" s="68"/>
    </row>
    <row r="175" spans="1:8" ht="47.25">
      <c r="A175" s="67" t="s">
        <v>263</v>
      </c>
      <c r="B175" s="75" t="s">
        <v>149</v>
      </c>
      <c r="C175" s="67" t="s">
        <v>146</v>
      </c>
      <c r="D175" s="68"/>
      <c r="E175" s="68"/>
      <c r="F175" s="68"/>
      <c r="G175" s="68"/>
      <c r="H175" s="68"/>
    </row>
    <row r="176" spans="1:8" ht="31.5">
      <c r="A176" s="67" t="s">
        <v>264</v>
      </c>
      <c r="B176" s="75" t="s">
        <v>260</v>
      </c>
      <c r="C176" s="67" t="s">
        <v>146</v>
      </c>
      <c r="D176" s="68"/>
      <c r="E176" s="68"/>
      <c r="F176" s="68"/>
      <c r="G176" s="68"/>
      <c r="H176" s="68"/>
    </row>
    <row r="177" spans="1:8" ht="47.25">
      <c r="A177" s="67" t="s">
        <v>265</v>
      </c>
      <c r="B177" s="75" t="s">
        <v>150</v>
      </c>
      <c r="C177" s="67" t="s">
        <v>146</v>
      </c>
      <c r="D177" s="68"/>
      <c r="E177" s="68"/>
      <c r="F177" s="68"/>
      <c r="G177" s="68"/>
      <c r="H177" s="68"/>
    </row>
    <row r="178" spans="1:8" ht="31.5">
      <c r="A178" s="67" t="s">
        <v>266</v>
      </c>
      <c r="B178" s="75" t="s">
        <v>260</v>
      </c>
      <c r="C178" s="67" t="s">
        <v>146</v>
      </c>
      <c r="D178" s="68"/>
      <c r="E178" s="68"/>
      <c r="F178" s="68"/>
      <c r="G178" s="68"/>
      <c r="H178" s="68"/>
    </row>
    <row r="179" spans="1:8" ht="31.5">
      <c r="A179" s="80" t="s">
        <v>797</v>
      </c>
      <c r="B179" s="75" t="s">
        <v>267</v>
      </c>
      <c r="C179" s="67" t="s">
        <v>146</v>
      </c>
      <c r="D179" s="68"/>
      <c r="E179" s="68"/>
      <c r="F179" s="68"/>
      <c r="G179" s="68"/>
      <c r="H179" s="68"/>
    </row>
    <row r="180" spans="1:8" ht="31.5">
      <c r="A180" s="67" t="s">
        <v>268</v>
      </c>
      <c r="B180" s="75" t="s">
        <v>260</v>
      </c>
      <c r="C180" s="67" t="s">
        <v>146</v>
      </c>
      <c r="D180" s="68"/>
      <c r="E180" s="68"/>
      <c r="F180" s="68"/>
      <c r="G180" s="68"/>
      <c r="H180" s="68"/>
    </row>
    <row r="181" spans="1:8" ht="31.5">
      <c r="A181" s="80" t="s">
        <v>798</v>
      </c>
      <c r="B181" s="75" t="s">
        <v>269</v>
      </c>
      <c r="C181" s="67" t="s">
        <v>146</v>
      </c>
      <c r="D181" s="68"/>
      <c r="E181" s="68"/>
      <c r="F181" s="68"/>
      <c r="G181" s="68"/>
      <c r="H181" s="68"/>
    </row>
    <row r="182" spans="1:8" ht="31.5">
      <c r="A182" s="67" t="s">
        <v>270</v>
      </c>
      <c r="B182" s="75" t="s">
        <v>260</v>
      </c>
      <c r="C182" s="67" t="s">
        <v>146</v>
      </c>
      <c r="D182" s="68"/>
      <c r="E182" s="68"/>
      <c r="F182" s="68"/>
      <c r="G182" s="68"/>
      <c r="H182" s="68"/>
    </row>
    <row r="183" spans="1:8" ht="31.5">
      <c r="A183" s="80" t="s">
        <v>799</v>
      </c>
      <c r="B183" s="75" t="s">
        <v>271</v>
      </c>
      <c r="C183" s="67" t="s">
        <v>146</v>
      </c>
      <c r="D183" s="68"/>
      <c r="E183" s="68"/>
      <c r="F183" s="68"/>
      <c r="G183" s="68"/>
      <c r="H183" s="68"/>
    </row>
    <row r="184" spans="1:8" ht="31.5">
      <c r="A184" s="67" t="s">
        <v>272</v>
      </c>
      <c r="B184" s="75" t="s">
        <v>260</v>
      </c>
      <c r="C184" s="67" t="s">
        <v>146</v>
      </c>
      <c r="D184" s="68"/>
      <c r="E184" s="68"/>
      <c r="F184" s="68"/>
      <c r="G184" s="68"/>
      <c r="H184" s="68"/>
    </row>
    <row r="185" spans="1:8" ht="31.5">
      <c r="A185" s="80" t="s">
        <v>800</v>
      </c>
      <c r="B185" s="75" t="s">
        <v>273</v>
      </c>
      <c r="C185" s="67" t="s">
        <v>146</v>
      </c>
      <c r="D185" s="68"/>
      <c r="E185" s="68"/>
      <c r="F185" s="68"/>
      <c r="G185" s="68"/>
      <c r="H185" s="68"/>
    </row>
    <row r="186" spans="1:8" ht="31.5">
      <c r="A186" s="67" t="s">
        <v>274</v>
      </c>
      <c r="B186" s="75" t="s">
        <v>260</v>
      </c>
      <c r="C186" s="67" t="s">
        <v>146</v>
      </c>
      <c r="D186" s="80"/>
      <c r="E186" s="68"/>
      <c r="F186" s="68"/>
      <c r="G186" s="68"/>
      <c r="H186" s="68"/>
    </row>
    <row r="187" spans="1:8" ht="31.5">
      <c r="A187" s="80" t="s">
        <v>801</v>
      </c>
      <c r="B187" s="75" t="s">
        <v>275</v>
      </c>
      <c r="C187" s="67" t="s">
        <v>146</v>
      </c>
      <c r="D187" s="69"/>
      <c r="E187" s="68"/>
      <c r="F187" s="68"/>
      <c r="G187" s="68"/>
      <c r="H187" s="68"/>
    </row>
    <row r="188" spans="1:8" ht="31.5">
      <c r="A188" s="67" t="s">
        <v>276</v>
      </c>
      <c r="B188" s="75" t="s">
        <v>260</v>
      </c>
      <c r="C188" s="67" t="s">
        <v>146</v>
      </c>
      <c r="D188" s="69"/>
      <c r="E188" s="68"/>
      <c r="F188" s="68"/>
      <c r="G188" s="68"/>
      <c r="H188" s="68"/>
    </row>
    <row r="189" spans="1:8" ht="31.5">
      <c r="A189" s="80" t="s">
        <v>802</v>
      </c>
      <c r="B189" s="75" t="s">
        <v>277</v>
      </c>
      <c r="C189" s="67" t="s">
        <v>146</v>
      </c>
      <c r="D189" s="80"/>
      <c r="E189" s="68"/>
      <c r="F189" s="68"/>
      <c r="G189" s="68"/>
      <c r="H189" s="68"/>
    </row>
    <row r="190" spans="1:8" ht="31.5">
      <c r="A190" s="67" t="s">
        <v>278</v>
      </c>
      <c r="B190" s="75" t="s">
        <v>260</v>
      </c>
      <c r="C190" s="67" t="s">
        <v>146</v>
      </c>
      <c r="D190" s="80"/>
      <c r="E190" s="68"/>
      <c r="F190" s="68"/>
      <c r="G190" s="68"/>
      <c r="H190" s="68"/>
    </row>
    <row r="191" spans="1:8" ht="47.25">
      <c r="A191" s="80" t="s">
        <v>803</v>
      </c>
      <c r="B191" s="75" t="s">
        <v>279</v>
      </c>
      <c r="C191" s="67" t="s">
        <v>146</v>
      </c>
      <c r="D191" s="80"/>
      <c r="E191" s="68"/>
      <c r="F191" s="68"/>
      <c r="G191" s="68"/>
      <c r="H191" s="68"/>
    </row>
    <row r="192" spans="1:8" ht="31.5">
      <c r="A192" s="67" t="s">
        <v>280</v>
      </c>
      <c r="B192" s="75" t="s">
        <v>260</v>
      </c>
      <c r="C192" s="67" t="s">
        <v>146</v>
      </c>
      <c r="D192" s="80"/>
      <c r="E192" s="68"/>
      <c r="F192" s="68"/>
      <c r="G192" s="68"/>
      <c r="H192" s="68"/>
    </row>
    <row r="193" spans="1:8" ht="31.5">
      <c r="A193" s="67" t="s">
        <v>281</v>
      </c>
      <c r="B193" s="75" t="s">
        <v>158</v>
      </c>
      <c r="C193" s="67" t="s">
        <v>146</v>
      </c>
      <c r="D193" s="68"/>
      <c r="E193" s="68"/>
      <c r="F193" s="68"/>
      <c r="G193" s="68"/>
      <c r="H193" s="68"/>
    </row>
    <row r="194" spans="1:8" ht="31.5">
      <c r="A194" s="67" t="s">
        <v>282</v>
      </c>
      <c r="B194" s="75" t="s">
        <v>260</v>
      </c>
      <c r="C194" s="67" t="s">
        <v>146</v>
      </c>
      <c r="D194" s="68"/>
      <c r="E194" s="68"/>
      <c r="F194" s="68"/>
      <c r="G194" s="68"/>
      <c r="H194" s="68"/>
    </row>
    <row r="195" spans="1:8" ht="31.5">
      <c r="A195" s="67" t="s">
        <v>283</v>
      </c>
      <c r="B195" s="75" t="s">
        <v>159</v>
      </c>
      <c r="C195" s="67" t="s">
        <v>146</v>
      </c>
      <c r="D195" s="68"/>
      <c r="E195" s="68"/>
      <c r="F195" s="68"/>
      <c r="G195" s="68"/>
      <c r="H195" s="68"/>
    </row>
    <row r="196" spans="1:8" ht="31.5">
      <c r="A196" s="67" t="s">
        <v>284</v>
      </c>
      <c r="B196" s="75" t="s">
        <v>260</v>
      </c>
      <c r="C196" s="67" t="s">
        <v>146</v>
      </c>
      <c r="D196" s="68"/>
      <c r="E196" s="68"/>
      <c r="F196" s="68"/>
      <c r="G196" s="68"/>
      <c r="H196" s="68"/>
    </row>
    <row r="197" spans="1:8" ht="31.5">
      <c r="A197" s="80" t="s">
        <v>804</v>
      </c>
      <c r="B197" s="75" t="s">
        <v>285</v>
      </c>
      <c r="C197" s="67" t="s">
        <v>146</v>
      </c>
      <c r="D197" s="68"/>
      <c r="E197" s="68"/>
      <c r="F197" s="68"/>
      <c r="G197" s="68"/>
      <c r="H197" s="68"/>
    </row>
    <row r="198" spans="1:8" ht="31.5">
      <c r="A198" s="67" t="s">
        <v>286</v>
      </c>
      <c r="B198" s="75" t="s">
        <v>260</v>
      </c>
      <c r="C198" s="67" t="s">
        <v>146</v>
      </c>
      <c r="D198" s="68"/>
      <c r="E198" s="68"/>
      <c r="F198" s="68"/>
      <c r="G198" s="68"/>
      <c r="H198" s="68"/>
    </row>
    <row r="199" spans="1:8" ht="31.5">
      <c r="A199" s="67">
        <v>23.2</v>
      </c>
      <c r="B199" s="75" t="s">
        <v>287</v>
      </c>
      <c r="C199" s="67" t="s">
        <v>146</v>
      </c>
      <c r="D199" s="68"/>
      <c r="E199" s="68"/>
      <c r="F199" s="68"/>
      <c r="G199" s="68"/>
      <c r="H199" s="68"/>
    </row>
    <row r="200" spans="1:8" ht="31.5">
      <c r="A200" s="80" t="s">
        <v>805</v>
      </c>
      <c r="B200" s="75" t="s">
        <v>288</v>
      </c>
      <c r="C200" s="67" t="s">
        <v>146</v>
      </c>
      <c r="E200" s="68"/>
      <c r="F200" s="68"/>
      <c r="G200" s="68"/>
      <c r="H200" s="68"/>
    </row>
    <row r="201" spans="1:8" ht="31.5">
      <c r="A201" s="67" t="s">
        <v>289</v>
      </c>
      <c r="B201" s="75" t="s">
        <v>260</v>
      </c>
      <c r="C201" s="67" t="s">
        <v>146</v>
      </c>
      <c r="E201" s="68"/>
      <c r="F201" s="68"/>
      <c r="G201" s="68"/>
      <c r="H201" s="68"/>
    </row>
    <row r="202" spans="1:8" ht="31.5">
      <c r="A202" s="80" t="s">
        <v>806</v>
      </c>
      <c r="B202" s="75" t="s">
        <v>290</v>
      </c>
      <c r="C202" s="67" t="s">
        <v>146</v>
      </c>
      <c r="E202" s="68"/>
      <c r="F202" s="68"/>
      <c r="G202" s="68"/>
      <c r="H202" s="68"/>
    </row>
    <row r="203" spans="1:8" ht="31.5">
      <c r="A203" s="67" t="s">
        <v>291</v>
      </c>
      <c r="B203" s="75" t="s">
        <v>292</v>
      </c>
      <c r="C203" s="67" t="s">
        <v>146</v>
      </c>
      <c r="E203" s="68"/>
      <c r="F203" s="68"/>
      <c r="G203" s="68"/>
      <c r="H203" s="68"/>
    </row>
    <row r="204" spans="1:8" ht="31.5">
      <c r="A204" s="67" t="s">
        <v>293</v>
      </c>
      <c r="B204" s="75" t="s">
        <v>260</v>
      </c>
      <c r="C204" s="67" t="s">
        <v>146</v>
      </c>
      <c r="D204" s="68"/>
      <c r="E204" s="68"/>
      <c r="F204" s="68"/>
      <c r="G204" s="68"/>
      <c r="H204" s="68"/>
    </row>
    <row r="205" spans="1:8" ht="31.5">
      <c r="A205" s="67" t="s">
        <v>294</v>
      </c>
      <c r="B205" s="75" t="s">
        <v>295</v>
      </c>
      <c r="C205" s="67" t="s">
        <v>146</v>
      </c>
      <c r="D205" s="68"/>
      <c r="E205" s="68"/>
      <c r="F205" s="68"/>
      <c r="G205" s="68"/>
      <c r="H205" s="68"/>
    </row>
    <row r="206" spans="1:8" ht="31.5">
      <c r="A206" s="67" t="s">
        <v>296</v>
      </c>
      <c r="B206" s="75" t="s">
        <v>260</v>
      </c>
      <c r="C206" s="67" t="s">
        <v>146</v>
      </c>
      <c r="D206" s="68"/>
      <c r="E206" s="68"/>
      <c r="F206" s="68"/>
      <c r="G206" s="68"/>
      <c r="H206" s="68"/>
    </row>
    <row r="207" spans="1:8" ht="63">
      <c r="A207" s="80" t="s">
        <v>807</v>
      </c>
      <c r="B207" s="75" t="s">
        <v>297</v>
      </c>
      <c r="C207" s="67" t="s">
        <v>146</v>
      </c>
      <c r="D207" s="68"/>
      <c r="E207" s="68"/>
      <c r="F207" s="68"/>
      <c r="G207" s="68"/>
      <c r="H207" s="68"/>
    </row>
    <row r="208" spans="1:8" ht="31.5">
      <c r="A208" s="67" t="s">
        <v>298</v>
      </c>
      <c r="B208" s="75" t="s">
        <v>260</v>
      </c>
      <c r="C208" s="67" t="s">
        <v>146</v>
      </c>
      <c r="D208" s="68"/>
      <c r="E208" s="68"/>
      <c r="F208" s="68"/>
      <c r="G208" s="68"/>
      <c r="H208" s="68"/>
    </row>
    <row r="209" spans="1:8" ht="31.5">
      <c r="A209" s="80" t="s">
        <v>808</v>
      </c>
      <c r="B209" s="75" t="s">
        <v>299</v>
      </c>
      <c r="C209" s="67" t="s">
        <v>146</v>
      </c>
      <c r="D209" s="68"/>
      <c r="E209" s="68"/>
      <c r="F209" s="68"/>
      <c r="G209" s="68"/>
      <c r="H209" s="68"/>
    </row>
    <row r="210" spans="1:8" ht="31.5">
      <c r="A210" s="67" t="s">
        <v>300</v>
      </c>
      <c r="B210" s="75" t="s">
        <v>260</v>
      </c>
      <c r="C210" s="67" t="s">
        <v>146</v>
      </c>
      <c r="D210" s="68"/>
      <c r="E210" s="68"/>
      <c r="F210" s="68"/>
      <c r="G210" s="68"/>
      <c r="H210" s="68"/>
    </row>
    <row r="211" spans="1:8" ht="31.5">
      <c r="A211" s="80" t="s">
        <v>809</v>
      </c>
      <c r="B211" s="75" t="s">
        <v>301</v>
      </c>
      <c r="C211" s="67" t="s">
        <v>146</v>
      </c>
      <c r="D211" s="68"/>
      <c r="E211" s="68"/>
      <c r="F211" s="68"/>
      <c r="G211" s="68"/>
      <c r="H211" s="68"/>
    </row>
    <row r="212" spans="1:8" ht="31.5">
      <c r="A212" s="67" t="s">
        <v>302</v>
      </c>
      <c r="B212" s="75" t="s">
        <v>260</v>
      </c>
      <c r="C212" s="67" t="s">
        <v>146</v>
      </c>
      <c r="D212" s="68"/>
      <c r="E212" s="68"/>
      <c r="F212" s="68"/>
      <c r="G212" s="68"/>
      <c r="H212" s="68"/>
    </row>
    <row r="213" spans="1:8" ht="31.5">
      <c r="A213" s="80" t="s">
        <v>810</v>
      </c>
      <c r="B213" s="75" t="s">
        <v>303</v>
      </c>
      <c r="C213" s="67" t="s">
        <v>146</v>
      </c>
      <c r="D213" s="81"/>
      <c r="E213" s="68"/>
      <c r="F213" s="68"/>
      <c r="G213" s="68"/>
      <c r="H213" s="68"/>
    </row>
    <row r="214" spans="1:8" ht="31.5">
      <c r="A214" s="67" t="s">
        <v>304</v>
      </c>
      <c r="B214" s="75" t="s">
        <v>260</v>
      </c>
      <c r="C214" s="67" t="s">
        <v>146</v>
      </c>
      <c r="E214" s="68"/>
      <c r="F214" s="68"/>
      <c r="G214" s="68"/>
      <c r="H214" s="68"/>
    </row>
    <row r="215" spans="1:8" ht="31.5">
      <c r="A215" s="80" t="s">
        <v>811</v>
      </c>
      <c r="B215" s="75" t="s">
        <v>305</v>
      </c>
      <c r="C215" s="67" t="s">
        <v>146</v>
      </c>
      <c r="E215" s="68"/>
      <c r="F215" s="68"/>
      <c r="G215" s="68"/>
      <c r="H215" s="68"/>
    </row>
    <row r="216" spans="1:8" ht="31.5">
      <c r="A216" s="67" t="s">
        <v>306</v>
      </c>
      <c r="B216" s="75" t="s">
        <v>260</v>
      </c>
      <c r="C216" s="67" t="s">
        <v>146</v>
      </c>
      <c r="E216" s="68"/>
      <c r="F216" s="68"/>
      <c r="G216" s="68"/>
      <c r="H216" s="68"/>
    </row>
    <row r="217" spans="1:8" ht="47.25">
      <c r="A217" s="80" t="s">
        <v>812</v>
      </c>
      <c r="B217" s="75" t="s">
        <v>307</v>
      </c>
      <c r="C217" s="67" t="s">
        <v>146</v>
      </c>
      <c r="E217" s="68"/>
      <c r="F217" s="68"/>
      <c r="G217" s="68"/>
      <c r="H217" s="68"/>
    </row>
    <row r="218" spans="1:8" ht="31.5">
      <c r="A218" s="67" t="s">
        <v>308</v>
      </c>
      <c r="B218" s="75" t="s">
        <v>260</v>
      </c>
      <c r="C218" s="67" t="s">
        <v>146</v>
      </c>
      <c r="E218" s="68"/>
      <c r="F218" s="68"/>
      <c r="G218" s="68"/>
      <c r="H218" s="68"/>
    </row>
    <row r="219" spans="1:8" ht="31.5">
      <c r="A219" s="80" t="s">
        <v>813</v>
      </c>
      <c r="B219" s="75" t="s">
        <v>309</v>
      </c>
      <c r="C219" s="67" t="s">
        <v>146</v>
      </c>
      <c r="E219" s="68"/>
      <c r="F219" s="68"/>
      <c r="G219" s="68"/>
      <c r="H219" s="68"/>
    </row>
    <row r="220" spans="1:8" ht="31.5">
      <c r="A220" s="67" t="s">
        <v>310</v>
      </c>
      <c r="B220" s="75" t="s">
        <v>260</v>
      </c>
      <c r="C220" s="67" t="s">
        <v>146</v>
      </c>
      <c r="D220" s="81"/>
      <c r="E220" s="68"/>
      <c r="F220" s="68"/>
      <c r="G220" s="68"/>
      <c r="H220" s="68"/>
    </row>
    <row r="221" spans="1:8" ht="63">
      <c r="A221" s="67">
        <v>23.3</v>
      </c>
      <c r="B221" s="75" t="s">
        <v>311</v>
      </c>
      <c r="C221" s="67" t="s">
        <v>20</v>
      </c>
      <c r="D221" s="81"/>
      <c r="E221" s="68"/>
      <c r="F221" s="68"/>
      <c r="G221" s="68"/>
      <c r="H221" s="68"/>
    </row>
    <row r="222" spans="1:8" ht="31.5">
      <c r="A222" s="80" t="s">
        <v>814</v>
      </c>
      <c r="B222" s="75" t="s">
        <v>312</v>
      </c>
      <c r="C222" s="67" t="s">
        <v>20</v>
      </c>
      <c r="D222" s="68"/>
      <c r="E222" s="68"/>
      <c r="F222" s="68"/>
      <c r="G222" s="68"/>
      <c r="H222" s="68"/>
    </row>
    <row r="223" spans="1:8" ht="63">
      <c r="A223" s="67" t="s">
        <v>313</v>
      </c>
      <c r="B223" s="75" t="s">
        <v>314</v>
      </c>
      <c r="C223" s="67" t="s">
        <v>20</v>
      </c>
      <c r="D223" s="68"/>
      <c r="E223" s="68"/>
      <c r="F223" s="68"/>
      <c r="G223" s="68"/>
      <c r="H223" s="68"/>
    </row>
    <row r="224" spans="1:8" ht="63">
      <c r="A224" s="67" t="s">
        <v>315</v>
      </c>
      <c r="B224" s="75" t="s">
        <v>316</v>
      </c>
      <c r="C224" s="67" t="s">
        <v>20</v>
      </c>
      <c r="D224" s="68"/>
      <c r="E224" s="68"/>
      <c r="F224" s="68"/>
      <c r="G224" s="68"/>
      <c r="H224" s="68"/>
    </row>
    <row r="225" spans="1:8" ht="63">
      <c r="A225" s="67" t="s">
        <v>317</v>
      </c>
      <c r="B225" s="75" t="s">
        <v>318</v>
      </c>
      <c r="C225" s="67" t="s">
        <v>20</v>
      </c>
      <c r="D225" s="68"/>
      <c r="E225" s="68"/>
      <c r="F225" s="68"/>
      <c r="G225" s="68"/>
      <c r="H225" s="68"/>
    </row>
    <row r="226" spans="1:8" ht="31.5">
      <c r="A226" s="80" t="s">
        <v>815</v>
      </c>
      <c r="B226" s="75" t="s">
        <v>319</v>
      </c>
      <c r="C226" s="67" t="s">
        <v>20</v>
      </c>
      <c r="D226" s="68"/>
      <c r="E226" s="68"/>
      <c r="F226" s="68"/>
      <c r="G226" s="68"/>
      <c r="H226" s="68"/>
    </row>
    <row r="227" spans="1:8" ht="31.5">
      <c r="A227" s="80" t="s">
        <v>816</v>
      </c>
      <c r="B227" s="75" t="s">
        <v>320</v>
      </c>
      <c r="C227" s="67" t="s">
        <v>20</v>
      </c>
      <c r="D227" s="68"/>
      <c r="E227" s="68"/>
      <c r="F227" s="68"/>
      <c r="G227" s="68"/>
      <c r="H227" s="68"/>
    </row>
    <row r="228" spans="1:8" ht="31.5">
      <c r="A228" s="80" t="s">
        <v>817</v>
      </c>
      <c r="B228" s="75" t="s">
        <v>321</v>
      </c>
      <c r="C228" s="67" t="s">
        <v>20</v>
      </c>
      <c r="D228" s="68"/>
      <c r="E228" s="68"/>
      <c r="F228" s="68"/>
      <c r="G228" s="68"/>
      <c r="H228" s="68"/>
    </row>
    <row r="229" spans="1:8" ht="31.5">
      <c r="A229" s="80" t="s">
        <v>818</v>
      </c>
      <c r="B229" s="75" t="s">
        <v>322</v>
      </c>
      <c r="C229" s="67" t="s">
        <v>20</v>
      </c>
      <c r="D229" s="68"/>
      <c r="E229" s="68"/>
      <c r="F229" s="68"/>
      <c r="G229" s="68"/>
      <c r="H229" s="68"/>
    </row>
    <row r="230" spans="1:8" ht="31.5">
      <c r="A230" s="80" t="s">
        <v>819</v>
      </c>
      <c r="B230" s="75" t="s">
        <v>323</v>
      </c>
      <c r="C230" s="67" t="s">
        <v>20</v>
      </c>
      <c r="D230" s="68"/>
      <c r="E230" s="68"/>
      <c r="F230" s="68"/>
      <c r="G230" s="68"/>
      <c r="H230" s="68"/>
    </row>
    <row r="231" spans="1:8" ht="47.25">
      <c r="A231" s="80" t="s">
        <v>820</v>
      </c>
      <c r="B231" s="75" t="s">
        <v>324</v>
      </c>
      <c r="C231" s="67" t="s">
        <v>20</v>
      </c>
      <c r="D231" s="68"/>
      <c r="E231" s="68"/>
      <c r="F231" s="68"/>
      <c r="G231" s="68"/>
      <c r="H231" s="68"/>
    </row>
    <row r="232" spans="1:8" ht="31.5">
      <c r="A232" s="67" t="s">
        <v>325</v>
      </c>
      <c r="B232" s="75" t="s">
        <v>158</v>
      </c>
      <c r="C232" s="67" t="s">
        <v>20</v>
      </c>
      <c r="D232" s="68"/>
      <c r="E232" s="68"/>
      <c r="F232" s="68"/>
      <c r="G232" s="68"/>
      <c r="H232" s="68"/>
    </row>
    <row r="233" spans="1:8">
      <c r="A233" s="67" t="s">
        <v>326</v>
      </c>
      <c r="B233" s="75" t="s">
        <v>159</v>
      </c>
      <c r="C233" s="67" t="s">
        <v>20</v>
      </c>
      <c r="D233" s="68"/>
      <c r="E233" s="68"/>
      <c r="F233" s="68"/>
      <c r="G233" s="68"/>
      <c r="H233" s="68"/>
    </row>
    <row r="234" spans="1:8">
      <c r="A234" s="751" t="s">
        <v>327</v>
      </c>
      <c r="B234" s="751"/>
      <c r="C234" s="751"/>
      <c r="D234" s="751"/>
      <c r="E234" s="751"/>
      <c r="F234" s="751"/>
      <c r="G234" s="751"/>
      <c r="H234" s="751"/>
    </row>
    <row r="235" spans="1:8" ht="47.25">
      <c r="A235" s="67" t="s">
        <v>328</v>
      </c>
      <c r="B235" s="68" t="s">
        <v>329</v>
      </c>
      <c r="C235" s="67" t="s">
        <v>256</v>
      </c>
      <c r="D235" s="67" t="s">
        <v>330</v>
      </c>
      <c r="E235" s="67" t="s">
        <v>330</v>
      </c>
      <c r="F235" s="68"/>
      <c r="G235" s="67" t="s">
        <v>330</v>
      </c>
      <c r="H235" s="67" t="s">
        <v>330</v>
      </c>
    </row>
    <row r="236" spans="1:8">
      <c r="A236" s="67">
        <v>24.1</v>
      </c>
      <c r="B236" s="75" t="s">
        <v>331</v>
      </c>
      <c r="C236" s="67" t="s">
        <v>61</v>
      </c>
      <c r="D236" s="68"/>
      <c r="E236" s="68"/>
      <c r="F236" s="68"/>
      <c r="G236" s="68"/>
      <c r="H236" s="68"/>
    </row>
    <row r="237" spans="1:8">
      <c r="A237" s="67">
        <v>24.2</v>
      </c>
      <c r="B237" s="75" t="s">
        <v>332</v>
      </c>
      <c r="C237" s="67" t="s">
        <v>333</v>
      </c>
      <c r="D237" s="68"/>
      <c r="E237" s="68"/>
      <c r="F237" s="68"/>
      <c r="G237" s="68"/>
      <c r="H237" s="68"/>
    </row>
    <row r="238" spans="1:8">
      <c r="A238" s="67">
        <v>24.3</v>
      </c>
      <c r="B238" s="75" t="s">
        <v>334</v>
      </c>
      <c r="C238" s="67" t="s">
        <v>61</v>
      </c>
      <c r="D238" s="68"/>
      <c r="E238" s="68"/>
      <c r="F238" s="68"/>
      <c r="G238" s="68"/>
      <c r="H238" s="68"/>
    </row>
    <row r="239" spans="1:8">
      <c r="A239" s="67">
        <v>24.4</v>
      </c>
      <c r="B239" s="75" t="s">
        <v>335</v>
      </c>
      <c r="C239" s="67" t="s">
        <v>333</v>
      </c>
      <c r="D239" s="68"/>
      <c r="E239" s="68"/>
      <c r="F239" s="68"/>
      <c r="G239" s="68"/>
      <c r="H239" s="68"/>
    </row>
    <row r="240" spans="1:8" ht="31.5">
      <c r="A240" s="67">
        <v>24.5</v>
      </c>
      <c r="B240" s="75" t="s">
        <v>336</v>
      </c>
      <c r="C240" s="67" t="s">
        <v>645</v>
      </c>
      <c r="D240" s="68"/>
      <c r="E240" s="68"/>
      <c r="F240" s="68"/>
      <c r="G240" s="68"/>
      <c r="H240" s="68"/>
    </row>
    <row r="241" spans="1:8" ht="31.5">
      <c r="A241" s="67">
        <v>24.6</v>
      </c>
      <c r="B241" s="75" t="s">
        <v>646</v>
      </c>
      <c r="C241" s="67" t="s">
        <v>256</v>
      </c>
      <c r="D241" s="67" t="s">
        <v>330</v>
      </c>
      <c r="E241" s="67" t="s">
        <v>330</v>
      </c>
      <c r="F241" s="68"/>
      <c r="G241" s="67" t="s">
        <v>330</v>
      </c>
      <c r="H241" s="67" t="s">
        <v>330</v>
      </c>
    </row>
    <row r="242" spans="1:8">
      <c r="A242" s="80" t="s">
        <v>821</v>
      </c>
      <c r="B242" s="75" t="s">
        <v>339</v>
      </c>
      <c r="C242" s="67" t="s">
        <v>645</v>
      </c>
      <c r="D242" s="68"/>
      <c r="E242" s="68"/>
      <c r="F242" s="68"/>
      <c r="G242" s="68"/>
      <c r="H242" s="68"/>
    </row>
    <row r="243" spans="1:8">
      <c r="A243" s="80" t="s">
        <v>822</v>
      </c>
      <c r="B243" s="75" t="s">
        <v>340</v>
      </c>
      <c r="C243" s="67" t="s">
        <v>647</v>
      </c>
      <c r="D243" s="68"/>
      <c r="E243" s="68"/>
      <c r="F243" s="68"/>
      <c r="G243" s="68"/>
      <c r="H243" s="68"/>
    </row>
    <row r="244" spans="1:8" ht="31.5">
      <c r="A244" s="67">
        <v>24.7</v>
      </c>
      <c r="B244" s="75" t="s">
        <v>342</v>
      </c>
      <c r="C244" s="67" t="s">
        <v>256</v>
      </c>
      <c r="D244" s="67" t="s">
        <v>330</v>
      </c>
      <c r="E244" s="67" t="s">
        <v>330</v>
      </c>
      <c r="F244" s="68"/>
      <c r="G244" s="67" t="s">
        <v>330</v>
      </c>
      <c r="H244" s="67" t="s">
        <v>330</v>
      </c>
    </row>
    <row r="245" spans="1:8">
      <c r="A245" s="80" t="s">
        <v>823</v>
      </c>
      <c r="B245" s="75" t="s">
        <v>339</v>
      </c>
      <c r="C245" s="67" t="s">
        <v>645</v>
      </c>
      <c r="D245" s="68"/>
      <c r="E245" s="68"/>
      <c r="F245" s="68"/>
      <c r="G245" s="68"/>
      <c r="H245" s="68"/>
    </row>
    <row r="246" spans="1:8">
      <c r="A246" s="80" t="s">
        <v>824</v>
      </c>
      <c r="B246" s="75" t="s">
        <v>343</v>
      </c>
      <c r="C246" s="67" t="s">
        <v>61</v>
      </c>
      <c r="D246" s="68"/>
      <c r="E246" s="68"/>
      <c r="F246" s="68"/>
      <c r="G246" s="68"/>
      <c r="H246" s="68"/>
    </row>
    <row r="247" spans="1:8">
      <c r="A247" s="80" t="s">
        <v>825</v>
      </c>
      <c r="B247" s="75" t="s">
        <v>340</v>
      </c>
      <c r="C247" s="67" t="s">
        <v>647</v>
      </c>
      <c r="D247" s="68"/>
      <c r="E247" s="68"/>
      <c r="F247" s="68"/>
      <c r="G247" s="68"/>
      <c r="H247" s="68"/>
    </row>
    <row r="248" spans="1:8" ht="31.5">
      <c r="A248" s="67">
        <v>24.8</v>
      </c>
      <c r="B248" s="75" t="s">
        <v>344</v>
      </c>
      <c r="C248" s="67" t="s">
        <v>256</v>
      </c>
      <c r="D248" s="67" t="s">
        <v>330</v>
      </c>
      <c r="E248" s="67" t="s">
        <v>330</v>
      </c>
      <c r="F248" s="68"/>
      <c r="G248" s="67" t="s">
        <v>330</v>
      </c>
      <c r="H248" s="67" t="s">
        <v>330</v>
      </c>
    </row>
    <row r="249" spans="1:8">
      <c r="A249" s="80" t="s">
        <v>826</v>
      </c>
      <c r="B249" s="75" t="s">
        <v>339</v>
      </c>
      <c r="C249" s="67" t="s">
        <v>645</v>
      </c>
      <c r="D249" s="68"/>
      <c r="E249" s="68"/>
      <c r="F249" s="68"/>
      <c r="G249" s="68"/>
      <c r="H249" s="68"/>
    </row>
    <row r="250" spans="1:8">
      <c r="A250" s="80" t="s">
        <v>827</v>
      </c>
      <c r="B250" s="75" t="s">
        <v>340</v>
      </c>
      <c r="C250" s="67" t="s">
        <v>647</v>
      </c>
      <c r="D250" s="68"/>
      <c r="E250" s="68"/>
      <c r="F250" s="68"/>
      <c r="G250" s="68"/>
      <c r="H250" s="68"/>
    </row>
    <row r="251" spans="1:8" ht="31.5">
      <c r="A251" s="67">
        <v>24.9</v>
      </c>
      <c r="B251" s="75" t="s">
        <v>648</v>
      </c>
      <c r="C251" s="67" t="s">
        <v>256</v>
      </c>
      <c r="D251" s="67" t="s">
        <v>330</v>
      </c>
      <c r="E251" s="67" t="s">
        <v>330</v>
      </c>
      <c r="F251" s="68"/>
      <c r="G251" s="67" t="s">
        <v>330</v>
      </c>
      <c r="H251" s="67" t="s">
        <v>330</v>
      </c>
    </row>
    <row r="252" spans="1:8">
      <c r="A252" s="80" t="s">
        <v>828</v>
      </c>
      <c r="B252" s="75" t="s">
        <v>339</v>
      </c>
      <c r="C252" s="67" t="s">
        <v>645</v>
      </c>
      <c r="D252" s="68"/>
      <c r="E252" s="68"/>
      <c r="F252" s="68"/>
      <c r="G252" s="68"/>
      <c r="H252" s="68"/>
    </row>
    <row r="253" spans="1:8">
      <c r="A253" s="80" t="s">
        <v>829</v>
      </c>
      <c r="B253" s="75" t="s">
        <v>343</v>
      </c>
      <c r="C253" s="67" t="s">
        <v>61</v>
      </c>
      <c r="D253" s="68"/>
      <c r="E253" s="68"/>
      <c r="F253" s="68"/>
      <c r="G253" s="68"/>
      <c r="H253" s="68"/>
    </row>
    <row r="254" spans="1:8">
      <c r="A254" s="80" t="s">
        <v>830</v>
      </c>
      <c r="B254" s="75" t="s">
        <v>340</v>
      </c>
      <c r="C254" s="67" t="s">
        <v>647</v>
      </c>
      <c r="D254" s="68"/>
      <c r="E254" s="68"/>
      <c r="F254" s="68"/>
      <c r="G254" s="68"/>
      <c r="H254" s="68"/>
    </row>
    <row r="255" spans="1:8" ht="31.5">
      <c r="A255" s="67" t="s">
        <v>346</v>
      </c>
      <c r="B255" s="68" t="s">
        <v>347</v>
      </c>
      <c r="C255" s="67" t="s">
        <v>256</v>
      </c>
      <c r="D255" s="67" t="s">
        <v>330</v>
      </c>
      <c r="E255" s="67" t="s">
        <v>330</v>
      </c>
      <c r="F255" s="68"/>
      <c r="G255" s="67" t="s">
        <v>330</v>
      </c>
      <c r="H255" s="67" t="s">
        <v>330</v>
      </c>
    </row>
    <row r="256" spans="1:8" ht="47.25">
      <c r="A256" s="67">
        <v>25.1</v>
      </c>
      <c r="B256" s="75" t="s">
        <v>348</v>
      </c>
      <c r="C256" s="67" t="s">
        <v>645</v>
      </c>
      <c r="D256" s="68"/>
      <c r="E256" s="68"/>
      <c r="F256" s="68"/>
      <c r="G256" s="68"/>
      <c r="H256" s="68"/>
    </row>
    <row r="257" spans="1:8" ht="47.25">
      <c r="A257" s="80" t="s">
        <v>831</v>
      </c>
      <c r="B257" s="75" t="s">
        <v>349</v>
      </c>
      <c r="C257" s="67" t="s">
        <v>645</v>
      </c>
      <c r="D257" s="68"/>
      <c r="E257" s="68"/>
      <c r="F257" s="68"/>
      <c r="G257" s="68"/>
      <c r="H257" s="68"/>
    </row>
    <row r="258" spans="1:8">
      <c r="A258" s="67" t="s">
        <v>350</v>
      </c>
      <c r="B258" s="75" t="s">
        <v>351</v>
      </c>
      <c r="C258" s="67" t="s">
        <v>645</v>
      </c>
      <c r="D258" s="68"/>
      <c r="E258" s="68"/>
      <c r="F258" s="68"/>
      <c r="G258" s="68"/>
      <c r="H258" s="68"/>
    </row>
    <row r="259" spans="1:8" ht="47.25">
      <c r="A259" s="67" t="s">
        <v>352</v>
      </c>
      <c r="B259" s="75" t="s">
        <v>353</v>
      </c>
      <c r="C259" s="67" t="s">
        <v>645</v>
      </c>
      <c r="D259" s="68"/>
      <c r="E259" s="68"/>
      <c r="F259" s="68"/>
      <c r="G259" s="68"/>
      <c r="H259" s="68"/>
    </row>
    <row r="260" spans="1:8" ht="47.25">
      <c r="A260" s="67">
        <v>25.2</v>
      </c>
      <c r="B260" s="75" t="s">
        <v>354</v>
      </c>
      <c r="C260" s="67" t="s">
        <v>645</v>
      </c>
      <c r="D260" s="68"/>
      <c r="E260" s="68"/>
      <c r="F260" s="68"/>
      <c r="G260" s="68"/>
      <c r="H260" s="68"/>
    </row>
    <row r="261" spans="1:8" ht="31.5">
      <c r="A261" s="67">
        <v>25.3</v>
      </c>
      <c r="B261" s="75" t="s">
        <v>355</v>
      </c>
      <c r="C261" s="67" t="s">
        <v>61</v>
      </c>
      <c r="D261" s="68"/>
      <c r="E261" s="68"/>
      <c r="F261" s="68"/>
      <c r="G261" s="68"/>
      <c r="H261" s="68"/>
    </row>
    <row r="262" spans="1:8" ht="47.25">
      <c r="A262" s="80" t="s">
        <v>832</v>
      </c>
      <c r="B262" s="75" t="s">
        <v>356</v>
      </c>
      <c r="C262" s="67" t="s">
        <v>61</v>
      </c>
      <c r="D262" s="68"/>
      <c r="E262" s="68"/>
      <c r="F262" s="68"/>
      <c r="G262" s="68"/>
      <c r="H262" s="68"/>
    </row>
    <row r="263" spans="1:8">
      <c r="A263" s="67" t="s">
        <v>357</v>
      </c>
      <c r="B263" s="75" t="s">
        <v>351</v>
      </c>
      <c r="C263" s="67" t="s">
        <v>61</v>
      </c>
      <c r="D263" s="68"/>
      <c r="E263" s="68"/>
      <c r="F263" s="68"/>
      <c r="G263" s="68"/>
      <c r="H263" s="68"/>
    </row>
    <row r="264" spans="1:8" ht="47.25">
      <c r="A264" s="67" t="s">
        <v>358</v>
      </c>
      <c r="B264" s="75" t="s">
        <v>353</v>
      </c>
      <c r="C264" s="67" t="s">
        <v>61</v>
      </c>
      <c r="D264" s="68"/>
      <c r="E264" s="68"/>
      <c r="F264" s="68"/>
      <c r="G264" s="68"/>
      <c r="H264" s="68"/>
    </row>
    <row r="265" spans="1:8" ht="47.25">
      <c r="A265" s="67">
        <v>25.4</v>
      </c>
      <c r="B265" s="75" t="s">
        <v>359</v>
      </c>
      <c r="C265" s="67" t="s">
        <v>360</v>
      </c>
      <c r="D265" s="68"/>
      <c r="E265" s="68"/>
      <c r="F265" s="68"/>
      <c r="G265" s="68"/>
      <c r="H265" s="68"/>
    </row>
    <row r="266" spans="1:8" ht="63">
      <c r="A266" s="67">
        <v>25.5</v>
      </c>
      <c r="B266" s="75" t="s">
        <v>361</v>
      </c>
      <c r="C266" s="67" t="s">
        <v>146</v>
      </c>
      <c r="D266" s="68"/>
      <c r="E266" s="68"/>
      <c r="F266" s="68"/>
      <c r="G266" s="68"/>
      <c r="H266" s="68"/>
    </row>
    <row r="267" spans="1:8">
      <c r="A267" s="67" t="s">
        <v>362</v>
      </c>
      <c r="B267" s="68" t="s">
        <v>363</v>
      </c>
      <c r="C267" s="67" t="s">
        <v>256</v>
      </c>
      <c r="D267" s="67" t="s">
        <v>330</v>
      </c>
      <c r="E267" s="67" t="s">
        <v>330</v>
      </c>
      <c r="F267" s="68"/>
      <c r="G267" s="67" t="s">
        <v>330</v>
      </c>
      <c r="H267" s="67" t="s">
        <v>330</v>
      </c>
    </row>
    <row r="268" spans="1:8" ht="31.5">
      <c r="A268" s="67">
        <v>26.1</v>
      </c>
      <c r="B268" s="75" t="s">
        <v>364</v>
      </c>
      <c r="C268" s="67" t="s">
        <v>645</v>
      </c>
      <c r="D268" s="68"/>
      <c r="E268" s="68"/>
      <c r="F268" s="68"/>
      <c r="G268" s="68"/>
      <c r="H268" s="68"/>
    </row>
    <row r="269" spans="1:8">
      <c r="A269" s="67">
        <v>26.2</v>
      </c>
      <c r="B269" s="75" t="s">
        <v>365</v>
      </c>
      <c r="C269" s="67" t="s">
        <v>333</v>
      </c>
      <c r="D269" s="68"/>
      <c r="E269" s="68"/>
      <c r="F269" s="68"/>
      <c r="G269" s="68"/>
      <c r="H269" s="68"/>
    </row>
    <row r="270" spans="1:8" ht="78.75">
      <c r="A270" s="67">
        <v>26.3</v>
      </c>
      <c r="B270" s="75" t="s">
        <v>366</v>
      </c>
      <c r="C270" s="67" t="s">
        <v>146</v>
      </c>
      <c r="D270" s="68"/>
      <c r="E270" s="68"/>
      <c r="F270" s="68"/>
      <c r="G270" s="68"/>
      <c r="H270" s="68"/>
    </row>
    <row r="271" spans="1:8" ht="63">
      <c r="A271" s="67">
        <v>26.4</v>
      </c>
      <c r="B271" s="75" t="s">
        <v>367</v>
      </c>
      <c r="C271" s="67" t="s">
        <v>146</v>
      </c>
      <c r="D271" s="68"/>
      <c r="E271" s="68"/>
      <c r="F271" s="68"/>
      <c r="G271" s="68"/>
      <c r="H271" s="68"/>
    </row>
    <row r="272" spans="1:8" ht="31.5">
      <c r="A272" s="67" t="s">
        <v>368</v>
      </c>
      <c r="B272" s="68" t="s">
        <v>369</v>
      </c>
      <c r="C272" s="67" t="s">
        <v>256</v>
      </c>
      <c r="D272" s="67" t="s">
        <v>330</v>
      </c>
      <c r="E272" s="67" t="s">
        <v>330</v>
      </c>
      <c r="F272" s="68"/>
      <c r="G272" s="67" t="s">
        <v>330</v>
      </c>
      <c r="H272" s="67" t="s">
        <v>330</v>
      </c>
    </row>
    <row r="273" spans="1:8" ht="47.25">
      <c r="A273" s="67">
        <v>27.1</v>
      </c>
      <c r="B273" s="75" t="s">
        <v>370</v>
      </c>
      <c r="C273" s="67" t="s">
        <v>61</v>
      </c>
      <c r="D273" s="68"/>
      <c r="E273" s="68"/>
      <c r="F273" s="68"/>
      <c r="G273" s="68"/>
      <c r="H273" s="68"/>
    </row>
    <row r="274" spans="1:8" ht="94.5">
      <c r="A274" s="80" t="s">
        <v>833</v>
      </c>
      <c r="B274" s="75" t="s">
        <v>371</v>
      </c>
      <c r="C274" s="67" t="s">
        <v>61</v>
      </c>
      <c r="D274" s="68"/>
      <c r="E274" s="68"/>
      <c r="F274" s="68"/>
      <c r="G274" s="68"/>
      <c r="H274" s="68"/>
    </row>
    <row r="275" spans="1:8" ht="94.5">
      <c r="A275" s="80" t="s">
        <v>834</v>
      </c>
      <c r="B275" s="75" t="s">
        <v>372</v>
      </c>
      <c r="C275" s="67" t="s">
        <v>61</v>
      </c>
      <c r="D275" s="68"/>
      <c r="E275" s="68"/>
      <c r="F275" s="68"/>
      <c r="G275" s="68"/>
      <c r="H275" s="68"/>
    </row>
    <row r="276" spans="1:8" ht="47.25">
      <c r="A276" s="80" t="s">
        <v>835</v>
      </c>
      <c r="B276" s="75" t="s">
        <v>373</v>
      </c>
      <c r="C276" s="67" t="s">
        <v>61</v>
      </c>
      <c r="D276" s="68"/>
      <c r="E276" s="68"/>
      <c r="F276" s="68"/>
      <c r="G276" s="68"/>
      <c r="H276" s="68"/>
    </row>
    <row r="277" spans="1:8" ht="47.25">
      <c r="A277" s="67">
        <v>27.2</v>
      </c>
      <c r="B277" s="75" t="s">
        <v>374</v>
      </c>
      <c r="C277" s="67" t="s">
        <v>645</v>
      </c>
      <c r="D277" s="68"/>
      <c r="E277" s="68"/>
      <c r="F277" s="68"/>
      <c r="G277" s="68"/>
      <c r="H277" s="68"/>
    </row>
    <row r="278" spans="1:8" ht="63">
      <c r="A278" s="80" t="s">
        <v>836</v>
      </c>
      <c r="B278" s="75" t="s">
        <v>375</v>
      </c>
      <c r="C278" s="67" t="s">
        <v>645</v>
      </c>
      <c r="D278" s="68"/>
      <c r="E278" s="68"/>
      <c r="F278" s="68"/>
      <c r="G278" s="68"/>
      <c r="H278" s="68"/>
    </row>
    <row r="279" spans="1:8" ht="47.25">
      <c r="A279" s="80" t="s">
        <v>837</v>
      </c>
      <c r="B279" s="75" t="s">
        <v>376</v>
      </c>
      <c r="C279" s="67" t="s">
        <v>645</v>
      </c>
      <c r="D279" s="68"/>
      <c r="E279" s="68"/>
      <c r="F279" s="68"/>
      <c r="G279" s="68"/>
      <c r="H279" s="68"/>
    </row>
    <row r="280" spans="1:8" ht="63">
      <c r="A280" s="67">
        <v>27.3</v>
      </c>
      <c r="B280" s="75" t="s">
        <v>649</v>
      </c>
      <c r="C280" s="67" t="s">
        <v>146</v>
      </c>
      <c r="D280" s="68"/>
      <c r="E280" s="68"/>
      <c r="F280" s="68"/>
      <c r="G280" s="68"/>
      <c r="H280" s="68"/>
    </row>
    <row r="281" spans="1:8" ht="31.5">
      <c r="A281" s="80" t="s">
        <v>838</v>
      </c>
      <c r="B281" s="75" t="s">
        <v>158</v>
      </c>
      <c r="C281" s="67" t="s">
        <v>146</v>
      </c>
      <c r="D281" s="68"/>
      <c r="E281" s="68"/>
      <c r="F281" s="68"/>
      <c r="G281" s="68"/>
      <c r="H281" s="68"/>
    </row>
    <row r="282" spans="1:8" ht="31.5">
      <c r="A282" s="80" t="s">
        <v>839</v>
      </c>
      <c r="B282" s="75" t="s">
        <v>159</v>
      </c>
      <c r="C282" s="67" t="s">
        <v>146</v>
      </c>
      <c r="D282" s="68"/>
      <c r="E282" s="68"/>
      <c r="F282" s="68"/>
      <c r="G282" s="68"/>
      <c r="H282" s="68"/>
    </row>
    <row r="283" spans="1:8" ht="31.5">
      <c r="A283" s="67" t="s">
        <v>378</v>
      </c>
      <c r="B283" s="68" t="s">
        <v>379</v>
      </c>
      <c r="C283" s="67" t="s">
        <v>380</v>
      </c>
      <c r="D283" s="68"/>
      <c r="E283" s="68"/>
      <c r="F283" s="68"/>
      <c r="G283" s="68"/>
      <c r="H283" s="68"/>
    </row>
    <row r="285" spans="1:8">
      <c r="A285" s="71" t="s">
        <v>474</v>
      </c>
    </row>
    <row r="286" spans="1:8">
      <c r="A286" s="71" t="s">
        <v>475</v>
      </c>
    </row>
    <row r="287" spans="1:8">
      <c r="A287" s="71" t="s">
        <v>723</v>
      </c>
    </row>
    <row r="288" spans="1:8">
      <c r="A288" s="71" t="s">
        <v>477</v>
      </c>
    </row>
    <row r="289" spans="1:1">
      <c r="A289" s="71" t="s">
        <v>724</v>
      </c>
    </row>
    <row r="290" spans="1:1">
      <c r="A290" s="71" t="s">
        <v>479</v>
      </c>
    </row>
  </sheetData>
  <mergeCells count="15">
    <mergeCell ref="A23:H23"/>
    <mergeCell ref="A234:H234"/>
    <mergeCell ref="A11:H11"/>
    <mergeCell ref="H20:H21"/>
    <mergeCell ref="A6:H6"/>
    <mergeCell ref="A15:H15"/>
    <mergeCell ref="A16:H16"/>
    <mergeCell ref="A7:H7"/>
    <mergeCell ref="A9:H9"/>
    <mergeCell ref="A13:H13"/>
    <mergeCell ref="A20:A21"/>
    <mergeCell ref="B20:B21"/>
    <mergeCell ref="C20:C21"/>
    <mergeCell ref="D20:E20"/>
    <mergeCell ref="F20:G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Y278"/>
  <sheetViews>
    <sheetView view="pageBreakPreview" zoomScale="60" zoomScaleNormal="70" workbookViewId="0">
      <selection activeCell="M33" sqref="M33"/>
    </sheetView>
  </sheetViews>
  <sheetFormatPr defaultRowHeight="15.75"/>
  <cols>
    <col min="1" max="1" width="17.85546875" style="57" customWidth="1"/>
    <col min="2" max="2" width="43.140625" style="60" customWidth="1"/>
    <col min="3" max="3" width="11.5703125" style="60" customWidth="1"/>
    <col min="4" max="4" width="34" style="60" customWidth="1"/>
    <col min="5" max="5" width="18.140625" style="60" customWidth="1"/>
    <col min="6" max="7" width="17.42578125" style="60" customWidth="1"/>
    <col min="8" max="8" width="13.85546875" style="60" customWidth="1"/>
    <col min="17" max="17" width="81.28515625" customWidth="1"/>
  </cols>
  <sheetData>
    <row r="1" spans="1:25">
      <c r="G1" s="57" t="s">
        <v>638</v>
      </c>
    </row>
    <row r="2" spans="1:25">
      <c r="G2" s="57" t="s">
        <v>23</v>
      </c>
    </row>
    <row r="3" spans="1:25">
      <c r="G3" s="57" t="s">
        <v>24</v>
      </c>
    </row>
    <row r="4" spans="1:25">
      <c r="P4" s="104"/>
      <c r="Q4" s="104"/>
      <c r="R4" s="104"/>
      <c r="S4" s="104"/>
      <c r="T4" s="104"/>
      <c r="U4" s="104"/>
      <c r="V4" s="104"/>
      <c r="W4" s="104"/>
      <c r="X4" s="104"/>
      <c r="Y4" s="103" t="s">
        <v>1014</v>
      </c>
    </row>
    <row r="5" spans="1:25">
      <c r="P5" s="104"/>
      <c r="Q5" s="104"/>
      <c r="R5" s="104"/>
      <c r="S5" s="104"/>
      <c r="T5" s="104"/>
      <c r="U5" s="757" t="s">
        <v>1015</v>
      </c>
      <c r="V5" s="757"/>
      <c r="W5" s="757"/>
      <c r="X5" s="757"/>
      <c r="Y5" s="757"/>
    </row>
    <row r="6" spans="1:25" ht="18.75">
      <c r="A6" s="699" t="s">
        <v>639</v>
      </c>
      <c r="B6" s="699"/>
      <c r="C6" s="699"/>
      <c r="D6" s="699"/>
      <c r="E6" s="699"/>
      <c r="F6" s="699"/>
      <c r="G6" s="699"/>
      <c r="H6" s="699"/>
      <c r="I6" s="16"/>
      <c r="J6" s="16"/>
      <c r="K6" s="16"/>
      <c r="L6" s="16"/>
      <c r="M6" s="16"/>
      <c r="P6" s="104"/>
      <c r="Q6" s="104"/>
      <c r="R6" s="104"/>
      <c r="S6" s="104"/>
      <c r="T6" s="104"/>
      <c r="U6" s="104"/>
      <c r="V6" s="104"/>
      <c r="W6" s="104"/>
      <c r="X6" s="104"/>
      <c r="Y6" s="102"/>
    </row>
    <row r="7" spans="1:25" ht="18.75">
      <c r="A7" s="699" t="s">
        <v>640</v>
      </c>
      <c r="B7" s="699"/>
      <c r="C7" s="699"/>
      <c r="D7" s="699"/>
      <c r="E7" s="699"/>
      <c r="F7" s="699"/>
      <c r="G7" s="699"/>
      <c r="H7" s="699"/>
      <c r="I7" s="16"/>
      <c r="J7" s="16"/>
      <c r="K7" s="16"/>
      <c r="L7" s="16"/>
      <c r="M7" s="16"/>
      <c r="P7" s="104"/>
      <c r="Q7" s="104"/>
      <c r="R7" s="104"/>
      <c r="S7" s="104"/>
      <c r="T7" s="104"/>
      <c r="U7" s="104"/>
      <c r="V7" s="104"/>
      <c r="W7" s="104"/>
      <c r="X7" s="104"/>
      <c r="Y7" s="102"/>
    </row>
    <row r="8" spans="1:25">
      <c r="P8" s="759" t="s">
        <v>1016</v>
      </c>
      <c r="Q8" s="759"/>
      <c r="R8" s="759"/>
      <c r="S8" s="759"/>
      <c r="T8" s="759"/>
      <c r="U8" s="759"/>
      <c r="V8" s="759"/>
      <c r="W8" s="759"/>
      <c r="X8" s="759"/>
      <c r="Y8" s="759"/>
    </row>
    <row r="9" spans="1:25" ht="33" customHeight="1">
      <c r="A9" s="752" t="s">
        <v>741</v>
      </c>
      <c r="B9" s="752"/>
      <c r="C9" s="752"/>
      <c r="D9" s="752"/>
      <c r="E9" s="752"/>
      <c r="F9" s="752"/>
      <c r="G9" s="752"/>
      <c r="H9" s="752"/>
      <c r="I9" s="72"/>
      <c r="J9" s="59"/>
      <c r="K9" s="59"/>
      <c r="L9" s="59"/>
      <c r="M9" s="59"/>
      <c r="N9" s="59"/>
      <c r="O9" s="59"/>
      <c r="P9" s="760" t="s">
        <v>1017</v>
      </c>
      <c r="Q9" s="760"/>
      <c r="R9" s="760"/>
      <c r="S9" s="760"/>
      <c r="T9" s="760"/>
      <c r="U9" s="760"/>
      <c r="V9" s="760"/>
      <c r="W9" s="760"/>
      <c r="X9" s="760"/>
      <c r="Y9" s="760"/>
    </row>
    <row r="10" spans="1:25" ht="22.5">
      <c r="I10" s="16"/>
      <c r="J10" s="16"/>
      <c r="K10" s="16"/>
      <c r="L10" s="16"/>
      <c r="M10" s="16"/>
      <c r="P10" s="761"/>
      <c r="Q10" s="761"/>
      <c r="R10" s="761"/>
      <c r="S10" s="761"/>
      <c r="T10" s="761"/>
      <c r="U10" s="761"/>
      <c r="V10" s="761"/>
      <c r="W10" s="761"/>
      <c r="X10" s="761"/>
      <c r="Y10" s="761"/>
    </row>
    <row r="11" spans="1:25" ht="18.75">
      <c r="A11" s="697" t="s">
        <v>742</v>
      </c>
      <c r="B11" s="697"/>
      <c r="C11" s="697"/>
      <c r="D11" s="697"/>
      <c r="E11" s="697"/>
      <c r="F11" s="697"/>
      <c r="G11" s="697"/>
      <c r="H11" s="697"/>
      <c r="I11" s="16"/>
      <c r="J11" s="16"/>
      <c r="K11" s="16"/>
      <c r="L11" s="16"/>
      <c r="M11" s="16"/>
      <c r="P11" s="762" t="s">
        <v>1018</v>
      </c>
      <c r="Q11" s="762"/>
      <c r="R11" s="762"/>
      <c r="S11" s="762"/>
      <c r="T11" s="762"/>
      <c r="U11" s="762"/>
      <c r="V11" s="762"/>
      <c r="W11" s="762"/>
      <c r="X11" s="762"/>
      <c r="Y11" s="762"/>
    </row>
    <row r="12" spans="1:25">
      <c r="B12" s="73"/>
      <c r="C12" s="73"/>
      <c r="D12" s="73"/>
      <c r="E12" s="73"/>
      <c r="F12" s="73"/>
      <c r="G12" s="73"/>
      <c r="H12" s="73"/>
      <c r="I12" s="26"/>
      <c r="J12" s="26"/>
      <c r="K12" s="26"/>
      <c r="L12" s="26"/>
      <c r="M12" s="26"/>
      <c r="P12" s="763" t="s">
        <v>1019</v>
      </c>
      <c r="Q12" s="763"/>
      <c r="R12" s="763"/>
      <c r="S12" s="763"/>
      <c r="T12" s="763"/>
      <c r="U12" s="763"/>
      <c r="V12" s="763"/>
      <c r="W12" s="763"/>
      <c r="X12" s="763"/>
      <c r="Y12" s="763"/>
    </row>
    <row r="13" spans="1:25" s="24" customFormat="1">
      <c r="A13" s="697" t="s">
        <v>725</v>
      </c>
      <c r="B13" s="697"/>
      <c r="C13" s="697"/>
      <c r="D13" s="697"/>
      <c r="E13" s="697"/>
      <c r="F13" s="697"/>
      <c r="G13" s="697"/>
      <c r="H13" s="697"/>
      <c r="I13" s="16"/>
      <c r="J13" s="16"/>
      <c r="K13" s="16"/>
      <c r="L13" s="16"/>
      <c r="M13" s="16"/>
      <c r="P13" s="101"/>
      <c r="Q13" s="767" t="s">
        <v>1020</v>
      </c>
      <c r="R13" s="768"/>
      <c r="S13" s="768"/>
      <c r="T13" s="101"/>
      <c r="U13" s="101"/>
      <c r="V13" s="101"/>
      <c r="W13" s="101"/>
      <c r="X13" s="101"/>
      <c r="Y13" s="101"/>
    </row>
    <row r="14" spans="1:25">
      <c r="P14" s="100"/>
      <c r="Q14" s="769" t="s">
        <v>1021</v>
      </c>
      <c r="R14" s="769"/>
      <c r="S14" s="769"/>
      <c r="T14" s="99"/>
      <c r="U14" s="99"/>
      <c r="V14" s="99"/>
      <c r="W14" s="99"/>
      <c r="X14" s="99"/>
      <c r="Y14" s="98" t="s">
        <v>1022</v>
      </c>
    </row>
    <row r="15" spans="1:25">
      <c r="A15" s="697" t="s">
        <v>131</v>
      </c>
      <c r="B15" s="697"/>
      <c r="C15" s="697"/>
      <c r="D15" s="697"/>
      <c r="E15" s="697"/>
      <c r="F15" s="697"/>
      <c r="G15" s="697"/>
      <c r="H15" s="697"/>
      <c r="P15" s="100"/>
      <c r="Q15" s="97"/>
      <c r="R15" s="97"/>
      <c r="S15" s="97"/>
      <c r="T15" s="99"/>
      <c r="U15" s="99"/>
      <c r="V15" s="99"/>
      <c r="W15" s="99"/>
      <c r="X15" s="99"/>
      <c r="Y15" s="98"/>
    </row>
    <row r="16" spans="1:25" ht="39" customHeight="1">
      <c r="A16" s="750" t="s">
        <v>726</v>
      </c>
      <c r="B16" s="750"/>
      <c r="C16" s="750"/>
      <c r="D16" s="750"/>
      <c r="E16" s="750"/>
      <c r="F16" s="750"/>
      <c r="G16" s="750"/>
      <c r="H16" s="750"/>
      <c r="I16" s="55"/>
      <c r="J16" s="55"/>
      <c r="K16" s="55"/>
      <c r="L16" s="55"/>
      <c r="M16" s="55"/>
      <c r="N16" s="55"/>
      <c r="O16" s="55"/>
      <c r="P16" s="764" t="s">
        <v>1023</v>
      </c>
      <c r="Q16" s="765" t="s">
        <v>137</v>
      </c>
      <c r="R16" s="96" t="s">
        <v>1024</v>
      </c>
      <c r="S16" s="96" t="s">
        <v>1025</v>
      </c>
      <c r="T16" s="96" t="s">
        <v>1026</v>
      </c>
      <c r="U16" s="96" t="s">
        <v>1027</v>
      </c>
      <c r="V16" s="96" t="s">
        <v>1028</v>
      </c>
      <c r="W16" s="96" t="s">
        <v>1029</v>
      </c>
      <c r="X16" s="96" t="s">
        <v>1030</v>
      </c>
      <c r="Y16" s="95" t="s">
        <v>1031</v>
      </c>
    </row>
    <row r="17" spans="1:25" ht="38.25">
      <c r="P17" s="764"/>
      <c r="Q17" s="765"/>
      <c r="R17" s="96" t="s">
        <v>1032</v>
      </c>
      <c r="S17" s="96" t="s">
        <v>1032</v>
      </c>
      <c r="T17" s="96" t="s">
        <v>1032</v>
      </c>
      <c r="U17" s="96" t="s">
        <v>1032</v>
      </c>
      <c r="V17" s="96" t="s">
        <v>1032</v>
      </c>
      <c r="W17" s="96" t="s">
        <v>1032</v>
      </c>
      <c r="X17" s="96" t="s">
        <v>1032</v>
      </c>
      <c r="Y17" s="96" t="s">
        <v>11</v>
      </c>
    </row>
    <row r="18" spans="1:25">
      <c r="A18" s="74"/>
      <c r="P18" s="94">
        <v>1</v>
      </c>
      <c r="Q18" s="93">
        <v>2</v>
      </c>
      <c r="R18" s="94" t="s">
        <v>1033</v>
      </c>
      <c r="S18" s="94" t="s">
        <v>1034</v>
      </c>
      <c r="T18" s="94" t="s">
        <v>1035</v>
      </c>
      <c r="U18" s="94" t="s">
        <v>1036</v>
      </c>
      <c r="V18" s="94" t="s">
        <v>1037</v>
      </c>
      <c r="W18" s="94" t="s">
        <v>1038</v>
      </c>
      <c r="X18" s="94" t="s">
        <v>1039</v>
      </c>
      <c r="Y18" s="92" t="s">
        <v>1040</v>
      </c>
    </row>
    <row r="19" spans="1:25" s="78" customFormat="1" ht="18.75">
      <c r="A19" s="770" t="s">
        <v>381</v>
      </c>
      <c r="B19" s="770"/>
      <c r="C19" s="770"/>
      <c r="D19" s="770"/>
      <c r="E19" s="770"/>
      <c r="F19" s="770"/>
      <c r="G19" s="770"/>
      <c r="H19" s="770"/>
      <c r="P19" s="766" t="s">
        <v>1041</v>
      </c>
      <c r="Q19" s="766"/>
      <c r="R19" s="91">
        <v>20.271440388607409</v>
      </c>
      <c r="S19" s="91">
        <v>20.056009262919744</v>
      </c>
      <c r="T19" s="91">
        <v>24.858904755962374</v>
      </c>
      <c r="U19" s="91">
        <v>21.34364012544491</v>
      </c>
      <c r="V19" s="91">
        <v>21.864119910211812</v>
      </c>
      <c r="W19" s="91">
        <v>22.294068222979437</v>
      </c>
      <c r="X19" s="91">
        <v>25.40786871078372</v>
      </c>
      <c r="Y19" s="90">
        <v>156.09605137690937</v>
      </c>
    </row>
    <row r="20" spans="1:25" s="78" customFormat="1" ht="18.75">
      <c r="A20" s="79"/>
      <c r="B20" s="79"/>
      <c r="C20" s="79"/>
      <c r="D20" s="79"/>
      <c r="E20" s="79"/>
      <c r="F20" s="79"/>
      <c r="G20" s="79"/>
      <c r="H20" s="79"/>
      <c r="P20" s="89" t="s">
        <v>144</v>
      </c>
      <c r="Q20" s="88" t="s">
        <v>384</v>
      </c>
      <c r="R20" s="91">
        <v>11.773766943692157</v>
      </c>
      <c r="S20" s="91">
        <v>17.340138076479068</v>
      </c>
      <c r="T20" s="91">
        <v>23.787426789860678</v>
      </c>
      <c r="U20" s="91">
        <v>21.34364012544491</v>
      </c>
      <c r="V20" s="91">
        <v>21.864119910211812</v>
      </c>
      <c r="W20" s="91">
        <v>22.294068222979437</v>
      </c>
      <c r="X20" s="91">
        <v>25.40786871078372</v>
      </c>
      <c r="Y20" s="90">
        <v>143.81102877945176</v>
      </c>
    </row>
    <row r="21" spans="1:25">
      <c r="A21" s="751" t="s">
        <v>136</v>
      </c>
      <c r="B21" s="751" t="s">
        <v>137</v>
      </c>
      <c r="C21" s="751" t="s">
        <v>138</v>
      </c>
      <c r="D21" s="751" t="s">
        <v>139</v>
      </c>
      <c r="E21" s="751"/>
      <c r="F21" s="751" t="s">
        <v>641</v>
      </c>
      <c r="G21" s="751"/>
      <c r="H21" s="751" t="s">
        <v>10</v>
      </c>
      <c r="P21" s="89" t="s">
        <v>1042</v>
      </c>
      <c r="Q21" s="87" t="s">
        <v>385</v>
      </c>
      <c r="R21" s="91">
        <v>2.2123607827181462</v>
      </c>
      <c r="S21" s="91">
        <v>7.5333231041692761</v>
      </c>
      <c r="T21" s="91">
        <v>12.495237928781673</v>
      </c>
      <c r="U21" s="91">
        <v>12.486161123258398</v>
      </c>
      <c r="V21" s="91">
        <v>12.639762635772724</v>
      </c>
      <c r="W21" s="91">
        <v>12.788701883880881</v>
      </c>
      <c r="X21" s="91">
        <v>12.735346365070949</v>
      </c>
      <c r="Y21" s="90">
        <v>72.89089382365205</v>
      </c>
    </row>
    <row r="22" spans="1:25">
      <c r="A22" s="751"/>
      <c r="B22" s="751"/>
      <c r="C22" s="751"/>
      <c r="D22" s="67" t="s">
        <v>11</v>
      </c>
      <c r="E22" s="67" t="s">
        <v>12</v>
      </c>
      <c r="F22" s="67" t="s">
        <v>141</v>
      </c>
      <c r="G22" s="67" t="s">
        <v>142</v>
      </c>
      <c r="H22" s="751"/>
      <c r="P22" s="89" t="s">
        <v>743</v>
      </c>
      <c r="Q22" s="106" t="s">
        <v>1043</v>
      </c>
      <c r="R22" s="91">
        <v>7.3182076271186447E-2</v>
      </c>
      <c r="S22" s="91">
        <v>5.2978813559322031</v>
      </c>
      <c r="T22" s="91">
        <v>10.165907627118644</v>
      </c>
      <c r="U22" s="91">
        <v>10.065986939830509</v>
      </c>
      <c r="V22" s="91">
        <v>10.127621833374576</v>
      </c>
      <c r="W22" s="91">
        <v>10.1861240125964</v>
      </c>
      <c r="X22" s="91">
        <v>10.041678268291511</v>
      </c>
      <c r="Y22" s="90">
        <v>55.958382113415034</v>
      </c>
    </row>
    <row r="23" spans="1:25">
      <c r="A23" s="67">
        <v>1</v>
      </c>
      <c r="B23" s="67">
        <v>2</v>
      </c>
      <c r="C23" s="67">
        <v>3</v>
      </c>
      <c r="D23" s="67">
        <v>4</v>
      </c>
      <c r="E23" s="67">
        <v>5</v>
      </c>
      <c r="F23" s="67">
        <v>6</v>
      </c>
      <c r="G23" s="67">
        <v>7</v>
      </c>
      <c r="H23" s="67">
        <v>8</v>
      </c>
      <c r="P23" s="89" t="s">
        <v>387</v>
      </c>
      <c r="Q23" s="86" t="s">
        <v>1044</v>
      </c>
      <c r="R23" s="91">
        <v>7.3182076271186447E-2</v>
      </c>
      <c r="S23" s="91">
        <v>5.2978813559322031</v>
      </c>
      <c r="T23" s="91">
        <v>10.165907627118644</v>
      </c>
      <c r="U23" s="91">
        <v>10.065986939830509</v>
      </c>
      <c r="V23" s="91">
        <v>10.127621833374576</v>
      </c>
      <c r="W23" s="91">
        <v>10.1861240125964</v>
      </c>
      <c r="X23" s="91">
        <v>10.041678268291511</v>
      </c>
      <c r="Y23" s="90">
        <v>55.958382113415034</v>
      </c>
    </row>
    <row r="24" spans="1:25" ht="31.5">
      <c r="A24" s="709" t="s">
        <v>383</v>
      </c>
      <c r="B24" s="709"/>
      <c r="C24" s="67" t="s">
        <v>146</v>
      </c>
      <c r="D24" s="68"/>
      <c r="E24" s="68"/>
      <c r="F24" s="68"/>
      <c r="G24" s="68"/>
      <c r="H24" s="68"/>
      <c r="P24" s="89" t="s">
        <v>392</v>
      </c>
      <c r="Q24" s="86" t="s">
        <v>1045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0">
        <v>0</v>
      </c>
    </row>
    <row r="25" spans="1:25" ht="31.5">
      <c r="A25" s="67" t="s">
        <v>144</v>
      </c>
      <c r="B25" s="68" t="s">
        <v>384</v>
      </c>
      <c r="C25" s="67" t="s">
        <v>146</v>
      </c>
      <c r="D25" s="68"/>
      <c r="E25" s="68"/>
      <c r="F25" s="68"/>
      <c r="G25" s="68"/>
      <c r="H25" s="68"/>
      <c r="P25" s="89" t="s">
        <v>1046</v>
      </c>
      <c r="Q25" s="86" t="s">
        <v>1046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0">
        <v>0</v>
      </c>
    </row>
    <row r="26" spans="1:25" ht="31.5">
      <c r="A26" s="67">
        <v>1.1000000000000001</v>
      </c>
      <c r="B26" s="75" t="s">
        <v>385</v>
      </c>
      <c r="C26" s="67" t="s">
        <v>146</v>
      </c>
      <c r="D26" s="68"/>
      <c r="E26" s="68"/>
      <c r="F26" s="68"/>
      <c r="G26" s="68"/>
      <c r="H26" s="68"/>
      <c r="P26" s="89" t="s">
        <v>744</v>
      </c>
      <c r="Q26" s="106" t="s">
        <v>1047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0">
        <v>0</v>
      </c>
    </row>
    <row r="27" spans="1:25" ht="47.25">
      <c r="A27" s="80" t="s">
        <v>743</v>
      </c>
      <c r="B27" s="75" t="s">
        <v>386</v>
      </c>
      <c r="C27" s="67" t="s">
        <v>146</v>
      </c>
      <c r="D27" s="68"/>
      <c r="E27" s="68"/>
      <c r="F27" s="68"/>
      <c r="G27" s="68"/>
      <c r="H27" s="68"/>
      <c r="P27" s="89" t="s">
        <v>745</v>
      </c>
      <c r="Q27" s="106" t="s">
        <v>1048</v>
      </c>
      <c r="R27" s="91">
        <v>2.1391787064469598</v>
      </c>
      <c r="S27" s="91">
        <v>2.235441748237073</v>
      </c>
      <c r="T27" s="91">
        <v>2.3293303016630302</v>
      </c>
      <c r="U27" s="91">
        <v>2.4201741834278883</v>
      </c>
      <c r="V27" s="91">
        <v>2.512140802398148</v>
      </c>
      <c r="W27" s="91">
        <v>2.6025778712844816</v>
      </c>
      <c r="X27" s="91">
        <v>2.6936680967794384</v>
      </c>
      <c r="Y27" s="90">
        <v>16.932511710237019</v>
      </c>
    </row>
    <row r="28" spans="1:25" ht="31.5">
      <c r="A28" s="67" t="s">
        <v>387</v>
      </c>
      <c r="B28" s="75" t="s">
        <v>388</v>
      </c>
      <c r="C28" s="67" t="s">
        <v>146</v>
      </c>
      <c r="D28" s="68"/>
      <c r="E28" s="68"/>
      <c r="F28" s="68"/>
      <c r="G28" s="68"/>
      <c r="H28" s="68"/>
      <c r="P28" s="89" t="s">
        <v>899</v>
      </c>
      <c r="Q28" s="86" t="s">
        <v>1049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0">
        <v>0</v>
      </c>
    </row>
    <row r="29" spans="1:25" ht="47.25">
      <c r="A29" s="67" t="s">
        <v>389</v>
      </c>
      <c r="B29" s="75" t="s">
        <v>148</v>
      </c>
      <c r="C29" s="67" t="s">
        <v>146</v>
      </c>
      <c r="D29" s="68"/>
      <c r="E29" s="68"/>
      <c r="F29" s="68"/>
      <c r="G29" s="68"/>
      <c r="H29" s="68"/>
      <c r="P29" s="89" t="s">
        <v>904</v>
      </c>
      <c r="Q29" s="86" t="s">
        <v>1050</v>
      </c>
      <c r="R29" s="91">
        <v>2.1391787064469598</v>
      </c>
      <c r="S29" s="91">
        <v>2.235441748237073</v>
      </c>
      <c r="T29" s="91">
        <v>2.3293303016630302</v>
      </c>
      <c r="U29" s="91">
        <v>2.4201741834278883</v>
      </c>
      <c r="V29" s="91">
        <v>2.512140802398148</v>
      </c>
      <c r="W29" s="91">
        <v>2.6025778712844816</v>
      </c>
      <c r="X29" s="91">
        <v>2.6936680967794384</v>
      </c>
      <c r="Y29" s="90">
        <v>16.932511710237019</v>
      </c>
    </row>
    <row r="30" spans="1:25" ht="47.25">
      <c r="A30" s="67" t="s">
        <v>390</v>
      </c>
      <c r="B30" s="75" t="s">
        <v>149</v>
      </c>
      <c r="C30" s="67" t="s">
        <v>146</v>
      </c>
      <c r="D30" s="68"/>
      <c r="E30" s="68"/>
      <c r="F30" s="68"/>
      <c r="G30" s="68"/>
      <c r="H30" s="68"/>
      <c r="P30" s="89" t="s">
        <v>905</v>
      </c>
      <c r="Q30" s="106" t="s">
        <v>418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0">
        <v>0</v>
      </c>
    </row>
    <row r="31" spans="1:25" ht="47.25">
      <c r="A31" s="67" t="s">
        <v>391</v>
      </c>
      <c r="B31" s="75" t="s">
        <v>150</v>
      </c>
      <c r="C31" s="67" t="s">
        <v>146</v>
      </c>
      <c r="D31" s="68"/>
      <c r="E31" s="68"/>
      <c r="F31" s="68"/>
      <c r="G31" s="68"/>
      <c r="H31" s="68"/>
      <c r="P31" s="89" t="s">
        <v>910</v>
      </c>
      <c r="Q31" s="106" t="s">
        <v>419</v>
      </c>
      <c r="R31" s="91">
        <v>6.4691525423728811</v>
      </c>
      <c r="S31" s="91">
        <v>6.7474237288135592</v>
      </c>
      <c r="T31" s="91">
        <v>7.5001525423728816</v>
      </c>
      <c r="U31" s="91">
        <v>5.6016694915254241</v>
      </c>
      <c r="V31" s="91">
        <v>5.8891525423728819</v>
      </c>
      <c r="W31" s="91">
        <v>6.1045762711864411</v>
      </c>
      <c r="X31" s="91">
        <v>8.7967457627118648</v>
      </c>
      <c r="Y31" s="90">
        <v>47.108872881355929</v>
      </c>
    </row>
    <row r="32" spans="1:25" ht="31.5">
      <c r="A32" s="67" t="s">
        <v>392</v>
      </c>
      <c r="B32" s="75" t="s">
        <v>393</v>
      </c>
      <c r="C32" s="67" t="s">
        <v>146</v>
      </c>
      <c r="D32" s="68"/>
      <c r="E32" s="68"/>
      <c r="F32" s="68"/>
      <c r="G32" s="68"/>
      <c r="H32" s="68"/>
      <c r="P32" s="89" t="s">
        <v>840</v>
      </c>
      <c r="Q32" s="106" t="s">
        <v>1051</v>
      </c>
      <c r="R32" s="91">
        <v>6.4691525423728811</v>
      </c>
      <c r="S32" s="91">
        <v>6.7474237288135592</v>
      </c>
      <c r="T32" s="91">
        <v>7.5001525423728816</v>
      </c>
      <c r="U32" s="91">
        <v>5.6016694915254241</v>
      </c>
      <c r="V32" s="91">
        <v>5.8891525423728819</v>
      </c>
      <c r="W32" s="91">
        <v>6.1045762711864411</v>
      </c>
      <c r="X32" s="91">
        <v>8.7967457627118648</v>
      </c>
      <c r="Y32" s="90">
        <v>47.108872881355929</v>
      </c>
    </row>
    <row r="33" spans="1:25" ht="31.5">
      <c r="A33" s="67" t="s">
        <v>394</v>
      </c>
      <c r="B33" s="75" t="s">
        <v>395</v>
      </c>
      <c r="C33" s="67" t="s">
        <v>146</v>
      </c>
      <c r="D33" s="68"/>
      <c r="E33" s="68"/>
      <c r="F33" s="68"/>
      <c r="G33" s="68"/>
      <c r="H33" s="68"/>
      <c r="P33" s="89" t="s">
        <v>421</v>
      </c>
      <c r="Q33" s="86" t="s">
        <v>269</v>
      </c>
      <c r="R33" s="91">
        <v>6.4691525423728811</v>
      </c>
      <c r="S33" s="91">
        <v>6.7474237288135592</v>
      </c>
      <c r="T33" s="91">
        <v>7.5001525423728816</v>
      </c>
      <c r="U33" s="91">
        <v>5.6016694915254241</v>
      </c>
      <c r="V33" s="91">
        <v>5.8891525423728819</v>
      </c>
      <c r="W33" s="91">
        <v>6.1045762711864411</v>
      </c>
      <c r="X33" s="91">
        <v>8.7967457627118648</v>
      </c>
      <c r="Y33" s="90">
        <v>47.108872881355929</v>
      </c>
    </row>
    <row r="34" spans="1:25" ht="31.5">
      <c r="A34" s="67" t="s">
        <v>396</v>
      </c>
      <c r="B34" s="75" t="s">
        <v>397</v>
      </c>
      <c r="C34" s="67" t="s">
        <v>146</v>
      </c>
      <c r="D34" s="68"/>
      <c r="E34" s="68"/>
      <c r="F34" s="68"/>
      <c r="G34" s="68"/>
      <c r="H34" s="68"/>
      <c r="P34" s="89" t="s">
        <v>426</v>
      </c>
      <c r="Q34" s="86" t="s">
        <v>1045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0">
        <v>0</v>
      </c>
    </row>
    <row r="35" spans="1:25" ht="31.5">
      <c r="A35" s="67" t="s">
        <v>398</v>
      </c>
      <c r="B35" s="75" t="s">
        <v>399</v>
      </c>
      <c r="C35" s="67" t="s">
        <v>146</v>
      </c>
      <c r="D35" s="68"/>
      <c r="E35" s="68"/>
      <c r="F35" s="68"/>
      <c r="G35" s="68"/>
      <c r="H35" s="68"/>
      <c r="P35" s="89" t="s">
        <v>841</v>
      </c>
      <c r="Q35" s="106" t="s">
        <v>1052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0">
        <v>0</v>
      </c>
    </row>
    <row r="36" spans="1:25" ht="47.25">
      <c r="A36" s="67" t="s">
        <v>400</v>
      </c>
      <c r="B36" s="75" t="s">
        <v>401</v>
      </c>
      <c r="C36" s="67" t="s">
        <v>146</v>
      </c>
      <c r="D36" s="68"/>
      <c r="E36" s="68"/>
      <c r="F36" s="68"/>
      <c r="G36" s="68"/>
      <c r="H36" s="68"/>
      <c r="P36" s="89" t="s">
        <v>842</v>
      </c>
      <c r="Q36" s="106" t="s">
        <v>435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0">
        <v>0</v>
      </c>
    </row>
    <row r="37" spans="1:25" ht="31.5">
      <c r="A37" s="67" t="s">
        <v>402</v>
      </c>
      <c r="B37" s="75" t="s">
        <v>403</v>
      </c>
      <c r="C37" s="67" t="s">
        <v>146</v>
      </c>
      <c r="D37" s="68"/>
      <c r="E37" s="68"/>
      <c r="F37" s="68"/>
      <c r="G37" s="68"/>
      <c r="H37" s="68"/>
      <c r="P37" s="89" t="s">
        <v>436</v>
      </c>
      <c r="Q37" s="86" t="s">
        <v>1045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0">
        <v>0</v>
      </c>
    </row>
    <row r="38" spans="1:25" ht="31.5">
      <c r="A38" s="67" t="s">
        <v>404</v>
      </c>
      <c r="B38" s="75" t="s">
        <v>405</v>
      </c>
      <c r="C38" s="67" t="s">
        <v>146</v>
      </c>
      <c r="D38" s="68"/>
      <c r="E38" s="68"/>
      <c r="F38" s="68"/>
      <c r="G38" s="68"/>
      <c r="H38" s="68"/>
      <c r="P38" s="89" t="s">
        <v>440</v>
      </c>
      <c r="Q38" s="86" t="s">
        <v>1045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0">
        <v>0</v>
      </c>
    </row>
    <row r="39" spans="1:25" ht="31.5">
      <c r="A39" s="67" t="s">
        <v>406</v>
      </c>
      <c r="B39" s="75" t="s">
        <v>403</v>
      </c>
      <c r="C39" s="67" t="s">
        <v>146</v>
      </c>
      <c r="D39" s="68"/>
      <c r="E39" s="68"/>
      <c r="F39" s="68"/>
      <c r="G39" s="68"/>
      <c r="H39" s="68"/>
      <c r="P39" s="89" t="s">
        <v>1046</v>
      </c>
      <c r="Q39" s="86" t="s">
        <v>1046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0">
        <v>0</v>
      </c>
    </row>
    <row r="40" spans="1:25" ht="31.5">
      <c r="A40" s="67" t="s">
        <v>407</v>
      </c>
      <c r="B40" s="75" t="s">
        <v>408</v>
      </c>
      <c r="C40" s="67" t="s">
        <v>146</v>
      </c>
      <c r="D40" s="68"/>
      <c r="E40" s="68"/>
      <c r="F40" s="68"/>
      <c r="G40" s="68"/>
      <c r="H40" s="68"/>
      <c r="P40" s="89" t="s">
        <v>943</v>
      </c>
      <c r="Q40" s="87" t="s">
        <v>1053</v>
      </c>
      <c r="R40" s="91">
        <v>3.0922536186011307</v>
      </c>
      <c r="S40" s="91">
        <v>3.0593912434962327</v>
      </c>
      <c r="T40" s="91">
        <v>3.7920363187061241</v>
      </c>
      <c r="U40" s="91">
        <v>3.2558095106610878</v>
      </c>
      <c r="V40" s="91">
        <v>3.3352047320662059</v>
      </c>
      <c r="W40" s="91">
        <v>3.4007900679121157</v>
      </c>
      <c r="X40" s="91">
        <v>3.8757765830009063</v>
      </c>
      <c r="Y40" s="90">
        <v>23.811262074443803</v>
      </c>
    </row>
    <row r="41" spans="1:25" ht="31.5">
      <c r="A41" s="67" t="s">
        <v>409</v>
      </c>
      <c r="B41" s="75" t="s">
        <v>277</v>
      </c>
      <c r="C41" s="67" t="s">
        <v>146</v>
      </c>
      <c r="D41" s="68"/>
      <c r="E41" s="68"/>
      <c r="F41" s="68"/>
      <c r="G41" s="68"/>
      <c r="H41" s="68"/>
      <c r="P41" s="89" t="s">
        <v>949</v>
      </c>
      <c r="Q41" s="87" t="s">
        <v>1054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0">
        <v>0</v>
      </c>
    </row>
    <row r="42" spans="1:25" ht="47.25">
      <c r="A42" s="67" t="s">
        <v>410</v>
      </c>
      <c r="B42" s="75" t="s">
        <v>411</v>
      </c>
      <c r="C42" s="67" t="s">
        <v>146</v>
      </c>
      <c r="D42" s="68"/>
      <c r="E42" s="68"/>
      <c r="F42" s="68"/>
      <c r="G42" s="68"/>
      <c r="H42" s="68"/>
      <c r="P42" s="89" t="s">
        <v>843</v>
      </c>
      <c r="Q42" s="106" t="s">
        <v>1055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0">
        <v>0</v>
      </c>
    </row>
    <row r="43" spans="1:25" ht="31.5">
      <c r="A43" s="67" t="s">
        <v>412</v>
      </c>
      <c r="B43" s="75" t="s">
        <v>158</v>
      </c>
      <c r="C43" s="67" t="s">
        <v>146</v>
      </c>
      <c r="D43" s="68"/>
      <c r="E43" s="68"/>
      <c r="F43" s="68"/>
      <c r="G43" s="68"/>
      <c r="H43" s="68"/>
      <c r="P43" s="89" t="s">
        <v>161</v>
      </c>
      <c r="Q43" s="88" t="s">
        <v>1056</v>
      </c>
      <c r="R43" s="91">
        <v>8.4976734449152538</v>
      </c>
      <c r="S43" s="91">
        <v>2.7158711864406779</v>
      </c>
      <c r="T43" s="91">
        <v>1.0714779661016949</v>
      </c>
      <c r="U43" s="91">
        <v>0</v>
      </c>
      <c r="V43" s="91">
        <v>0</v>
      </c>
      <c r="W43" s="91">
        <v>0</v>
      </c>
      <c r="X43" s="91">
        <v>0</v>
      </c>
      <c r="Y43" s="90">
        <v>12.285022597457626</v>
      </c>
    </row>
    <row r="44" spans="1:25" ht="31.5">
      <c r="A44" s="67" t="s">
        <v>413</v>
      </c>
      <c r="B44" s="75" t="s">
        <v>159</v>
      </c>
      <c r="C44" s="67" t="s">
        <v>146</v>
      </c>
      <c r="D44" s="68"/>
      <c r="E44" s="68"/>
      <c r="F44" s="68"/>
      <c r="G44" s="68"/>
      <c r="H44" s="68"/>
      <c r="P44" s="89" t="s">
        <v>1057</v>
      </c>
      <c r="Q44" s="87" t="s">
        <v>453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0">
        <v>0</v>
      </c>
    </row>
    <row r="45" spans="1:25" ht="47.25">
      <c r="A45" s="80" t="s">
        <v>744</v>
      </c>
      <c r="B45" s="75" t="s">
        <v>650</v>
      </c>
      <c r="C45" s="67" t="s">
        <v>146</v>
      </c>
      <c r="D45" s="68"/>
      <c r="E45" s="68"/>
      <c r="F45" s="68"/>
      <c r="G45" s="68"/>
      <c r="H45" s="68"/>
      <c r="P45" s="89" t="s">
        <v>1058</v>
      </c>
      <c r="Q45" s="87" t="s">
        <v>454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0">
        <v>0</v>
      </c>
    </row>
    <row r="46" spans="1:25" ht="47.25">
      <c r="A46" s="67" t="s">
        <v>415</v>
      </c>
      <c r="B46" s="75" t="s">
        <v>148</v>
      </c>
      <c r="C46" s="67" t="s">
        <v>146</v>
      </c>
      <c r="D46" s="68"/>
      <c r="E46" s="68"/>
      <c r="F46" s="68"/>
      <c r="G46" s="68"/>
      <c r="H46" s="68"/>
      <c r="P46" s="89" t="s">
        <v>1059</v>
      </c>
      <c r="Q46" s="87" t="s">
        <v>652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0">
        <v>0</v>
      </c>
    </row>
    <row r="47" spans="1:25" ht="47.25">
      <c r="A47" s="67" t="s">
        <v>416</v>
      </c>
      <c r="B47" s="75" t="s">
        <v>149</v>
      </c>
      <c r="C47" s="67" t="s">
        <v>146</v>
      </c>
      <c r="D47" s="68"/>
      <c r="E47" s="68"/>
      <c r="F47" s="68"/>
      <c r="G47" s="68"/>
      <c r="H47" s="68"/>
      <c r="P47" s="89" t="s">
        <v>1060</v>
      </c>
      <c r="Q47" s="87" t="s">
        <v>456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0">
        <v>0</v>
      </c>
    </row>
    <row r="48" spans="1:25" ht="47.25">
      <c r="A48" s="67" t="s">
        <v>417</v>
      </c>
      <c r="B48" s="75" t="s">
        <v>150</v>
      </c>
      <c r="C48" s="67" t="s">
        <v>146</v>
      </c>
      <c r="D48" s="68"/>
      <c r="E48" s="68"/>
      <c r="F48" s="68"/>
      <c r="G48" s="68"/>
      <c r="H48" s="68"/>
      <c r="P48" s="89" t="s">
        <v>1061</v>
      </c>
      <c r="Q48" s="87" t="s">
        <v>1062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0">
        <v>0</v>
      </c>
    </row>
    <row r="49" spans="1:25" ht="31.5">
      <c r="A49" s="80" t="s">
        <v>744</v>
      </c>
      <c r="B49" s="75" t="s">
        <v>418</v>
      </c>
      <c r="C49" s="67" t="s">
        <v>146</v>
      </c>
      <c r="D49" s="68"/>
      <c r="E49" s="68"/>
      <c r="F49" s="68"/>
      <c r="G49" s="68"/>
      <c r="H49" s="68"/>
      <c r="P49" s="89" t="s">
        <v>759</v>
      </c>
      <c r="Q49" s="106" t="s">
        <v>1063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0">
        <v>0</v>
      </c>
    </row>
    <row r="50" spans="1:25" ht="31.5">
      <c r="A50" s="67">
        <v>1.2</v>
      </c>
      <c r="B50" s="75" t="s">
        <v>419</v>
      </c>
      <c r="C50" s="67" t="s">
        <v>146</v>
      </c>
      <c r="D50" s="68"/>
      <c r="E50" s="68"/>
      <c r="F50" s="68"/>
      <c r="G50" s="68"/>
      <c r="H50" s="68"/>
      <c r="P50" s="89" t="s">
        <v>459</v>
      </c>
      <c r="Q50" s="86" t="s">
        <v>1064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0">
        <v>0</v>
      </c>
    </row>
    <row r="51" spans="1:25" ht="31.5">
      <c r="A51" s="80" t="s">
        <v>840</v>
      </c>
      <c r="B51" s="75" t="s">
        <v>420</v>
      </c>
      <c r="C51" s="67" t="s">
        <v>146</v>
      </c>
      <c r="D51" s="68"/>
      <c r="E51" s="68"/>
      <c r="F51" s="68"/>
      <c r="G51" s="68"/>
      <c r="H51" s="68"/>
      <c r="P51" s="89" t="s">
        <v>760</v>
      </c>
      <c r="Q51" s="106" t="s">
        <v>1065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0">
        <v>0</v>
      </c>
    </row>
    <row r="52" spans="1:25" ht="31.5">
      <c r="A52" s="67" t="s">
        <v>421</v>
      </c>
      <c r="B52" s="75" t="s">
        <v>422</v>
      </c>
      <c r="C52" s="67" t="s">
        <v>146</v>
      </c>
      <c r="D52" s="68"/>
      <c r="E52" s="68"/>
      <c r="F52" s="68"/>
      <c r="G52" s="68"/>
      <c r="H52" s="68"/>
      <c r="P52" s="89" t="s">
        <v>462</v>
      </c>
      <c r="Q52" s="86" t="s">
        <v>1066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0">
        <v>0</v>
      </c>
    </row>
    <row r="53" spans="1:25" ht="47.25">
      <c r="A53" s="67" t="s">
        <v>423</v>
      </c>
      <c r="B53" s="75" t="s">
        <v>148</v>
      </c>
      <c r="C53" s="67" t="s">
        <v>146</v>
      </c>
      <c r="D53" s="68"/>
      <c r="E53" s="68"/>
      <c r="F53" s="68"/>
      <c r="G53" s="68"/>
      <c r="H53" s="68"/>
      <c r="P53" s="89" t="s">
        <v>1067</v>
      </c>
      <c r="Q53" s="87" t="s">
        <v>464</v>
      </c>
      <c r="R53" s="91">
        <v>8.4976734449152538</v>
      </c>
      <c r="S53" s="91">
        <v>2.7158711864406779</v>
      </c>
      <c r="T53" s="91">
        <v>1.0714779661016949</v>
      </c>
      <c r="U53" s="91">
        <v>0</v>
      </c>
      <c r="V53" s="91">
        <v>0</v>
      </c>
      <c r="W53" s="91">
        <v>0</v>
      </c>
      <c r="X53" s="91">
        <v>0</v>
      </c>
      <c r="Y53" s="90">
        <v>12.285022597457626</v>
      </c>
    </row>
    <row r="54" spans="1:25" ht="47.25">
      <c r="A54" s="67" t="s">
        <v>424</v>
      </c>
      <c r="B54" s="75" t="s">
        <v>149</v>
      </c>
      <c r="C54" s="67" t="s">
        <v>146</v>
      </c>
      <c r="D54" s="68"/>
      <c r="E54" s="68"/>
      <c r="F54" s="68"/>
      <c r="G54" s="68"/>
      <c r="H54" s="68"/>
      <c r="P54" s="89" t="s">
        <v>1068</v>
      </c>
      <c r="Q54" s="87" t="s">
        <v>465</v>
      </c>
      <c r="R54" s="85"/>
      <c r="S54" s="85"/>
      <c r="T54" s="85"/>
      <c r="U54" s="85"/>
      <c r="V54" s="85"/>
      <c r="W54" s="85"/>
      <c r="X54" s="85"/>
      <c r="Y54" s="84"/>
    </row>
    <row r="55" spans="1:25" ht="47.25">
      <c r="A55" s="67" t="s">
        <v>425</v>
      </c>
      <c r="B55" s="75" t="s">
        <v>150</v>
      </c>
      <c r="C55" s="67" t="s">
        <v>146</v>
      </c>
      <c r="D55" s="68"/>
      <c r="E55" s="68"/>
      <c r="F55" s="68"/>
      <c r="G55" s="68"/>
      <c r="H55" s="68"/>
      <c r="P55" s="83"/>
      <c r="Q55" s="83"/>
      <c r="R55" s="83"/>
      <c r="S55" s="83"/>
      <c r="T55" s="83"/>
      <c r="U55" s="83"/>
      <c r="V55" s="83"/>
      <c r="W55" s="83"/>
      <c r="X55" s="83"/>
      <c r="Y55" s="83"/>
    </row>
    <row r="56" spans="1:25" ht="31.5">
      <c r="A56" s="67" t="s">
        <v>426</v>
      </c>
      <c r="B56" s="75" t="s">
        <v>267</v>
      </c>
      <c r="C56" s="67" t="s">
        <v>146</v>
      </c>
      <c r="D56" s="68"/>
      <c r="E56" s="68"/>
      <c r="F56" s="68"/>
      <c r="G56" s="68"/>
      <c r="H56" s="68"/>
      <c r="P56" s="758"/>
      <c r="Q56" s="758"/>
      <c r="R56" s="758"/>
      <c r="S56" s="758"/>
      <c r="T56" s="758"/>
      <c r="U56" s="758"/>
      <c r="V56" s="758"/>
      <c r="W56" s="758"/>
      <c r="X56" s="758"/>
      <c r="Y56" s="758"/>
    </row>
    <row r="57" spans="1:25" ht="31.5">
      <c r="A57" s="67" t="s">
        <v>427</v>
      </c>
      <c r="B57" s="75" t="s">
        <v>269</v>
      </c>
      <c r="C57" s="67" t="s">
        <v>146</v>
      </c>
      <c r="D57" s="68"/>
      <c r="E57" s="68"/>
      <c r="F57" s="68"/>
      <c r="G57" s="68"/>
      <c r="H57" s="68"/>
      <c r="P57" s="753"/>
      <c r="Q57" s="753"/>
      <c r="R57" s="753"/>
      <c r="S57" s="753"/>
      <c r="T57" s="753"/>
      <c r="U57" s="753"/>
      <c r="V57" s="753"/>
      <c r="W57" s="753"/>
      <c r="X57" s="753"/>
      <c r="Y57" s="753"/>
    </row>
    <row r="58" spans="1:25" ht="31.5">
      <c r="A58" s="67" t="s">
        <v>428</v>
      </c>
      <c r="B58" s="75" t="s">
        <v>271</v>
      </c>
      <c r="C58" s="67" t="s">
        <v>146</v>
      </c>
      <c r="D58" s="68"/>
      <c r="E58" s="68"/>
      <c r="F58" s="68"/>
      <c r="G58" s="68"/>
      <c r="H58" s="68"/>
      <c r="P58" s="754"/>
      <c r="Q58" s="754"/>
      <c r="R58" s="754"/>
      <c r="S58" s="754"/>
      <c r="T58" s="754"/>
      <c r="U58" s="754"/>
      <c r="V58" s="754"/>
      <c r="W58" s="754"/>
      <c r="X58" s="754"/>
      <c r="Y58" s="754"/>
    </row>
    <row r="59" spans="1:25" ht="31.5">
      <c r="A59" s="67" t="s">
        <v>429</v>
      </c>
      <c r="B59" s="75" t="s">
        <v>275</v>
      </c>
      <c r="C59" s="67" t="s">
        <v>146</v>
      </c>
      <c r="D59" s="68"/>
      <c r="E59" s="68"/>
      <c r="F59" s="68"/>
      <c r="G59" s="68"/>
      <c r="H59" s="68"/>
      <c r="P59" s="754"/>
      <c r="Q59" s="754"/>
      <c r="R59" s="754"/>
      <c r="S59" s="754"/>
      <c r="T59" s="754"/>
      <c r="U59" s="754"/>
      <c r="V59" s="754"/>
      <c r="W59" s="754"/>
      <c r="X59" s="754"/>
      <c r="Y59" s="754"/>
    </row>
    <row r="60" spans="1:25" ht="31.5">
      <c r="A60" s="67" t="s">
        <v>430</v>
      </c>
      <c r="B60" s="75" t="s">
        <v>277</v>
      </c>
      <c r="C60" s="67" t="s">
        <v>146</v>
      </c>
      <c r="D60" s="68"/>
      <c r="E60" s="68"/>
      <c r="F60" s="68"/>
      <c r="G60" s="68"/>
      <c r="H60" s="68"/>
      <c r="P60" s="755"/>
      <c r="Q60" s="755"/>
      <c r="R60" s="755"/>
      <c r="S60" s="755"/>
      <c r="T60" s="755"/>
      <c r="U60" s="755"/>
      <c r="V60" s="755"/>
      <c r="W60" s="755"/>
      <c r="X60" s="755"/>
      <c r="Y60" s="755"/>
    </row>
    <row r="61" spans="1:25" ht="47.25">
      <c r="A61" s="67" t="s">
        <v>431</v>
      </c>
      <c r="B61" s="75" t="s">
        <v>279</v>
      </c>
      <c r="C61" s="67" t="s">
        <v>146</v>
      </c>
      <c r="D61" s="68"/>
      <c r="E61" s="68"/>
      <c r="F61" s="68"/>
      <c r="G61" s="68"/>
      <c r="H61" s="68"/>
      <c r="P61" s="756"/>
      <c r="Q61" s="756"/>
      <c r="R61" s="756"/>
      <c r="S61" s="756"/>
      <c r="T61" s="756"/>
      <c r="U61" s="756"/>
      <c r="V61" s="756"/>
      <c r="W61" s="756"/>
      <c r="X61" s="756"/>
      <c r="Y61" s="756"/>
    </row>
    <row r="62" spans="1:25" ht="31.5">
      <c r="A62" s="67" t="s">
        <v>432</v>
      </c>
      <c r="B62" s="75" t="s">
        <v>158</v>
      </c>
      <c r="C62" s="67" t="s">
        <v>146</v>
      </c>
      <c r="D62" s="68"/>
      <c r="E62" s="68"/>
      <c r="F62" s="68"/>
      <c r="G62" s="68"/>
      <c r="H62" s="68"/>
    </row>
    <row r="63" spans="1:25" ht="31.5">
      <c r="A63" s="67" t="s">
        <v>433</v>
      </c>
      <c r="B63" s="75" t="s">
        <v>159</v>
      </c>
      <c r="C63" s="67" t="s">
        <v>146</v>
      </c>
      <c r="D63" s="68"/>
      <c r="E63" s="68"/>
      <c r="F63" s="68"/>
      <c r="G63" s="68"/>
      <c r="H63" s="68"/>
    </row>
    <row r="64" spans="1:25" ht="31.5">
      <c r="A64" s="80" t="s">
        <v>841</v>
      </c>
      <c r="B64" s="75" t="s">
        <v>434</v>
      </c>
      <c r="C64" s="67" t="s">
        <v>146</v>
      </c>
      <c r="D64" s="68"/>
      <c r="E64" s="68"/>
      <c r="F64" s="68"/>
      <c r="G64" s="68"/>
      <c r="H64" s="68"/>
    </row>
    <row r="65" spans="1:8" ht="31.5">
      <c r="A65" s="80" t="s">
        <v>842</v>
      </c>
      <c r="B65" s="75" t="s">
        <v>435</v>
      </c>
      <c r="C65" s="67" t="s">
        <v>146</v>
      </c>
      <c r="D65" s="68"/>
      <c r="E65" s="68"/>
      <c r="F65" s="68"/>
      <c r="G65" s="68"/>
      <c r="H65" s="68"/>
    </row>
    <row r="66" spans="1:8" ht="31.5">
      <c r="A66" s="67" t="s">
        <v>436</v>
      </c>
      <c r="B66" s="75" t="s">
        <v>422</v>
      </c>
      <c r="C66" s="67" t="s">
        <v>146</v>
      </c>
      <c r="D66" s="68"/>
      <c r="E66" s="68"/>
      <c r="F66" s="68"/>
      <c r="G66" s="68"/>
      <c r="H66" s="68"/>
    </row>
    <row r="67" spans="1:8" ht="47.25">
      <c r="A67" s="67" t="s">
        <v>437</v>
      </c>
      <c r="B67" s="75" t="s">
        <v>148</v>
      </c>
      <c r="C67" s="67" t="s">
        <v>146</v>
      </c>
      <c r="D67" s="68"/>
      <c r="E67" s="68"/>
      <c r="F67" s="68"/>
      <c r="G67" s="68"/>
      <c r="H67" s="68"/>
    </row>
    <row r="68" spans="1:8" ht="47.25">
      <c r="A68" s="67" t="s">
        <v>651</v>
      </c>
      <c r="B68" s="75" t="s">
        <v>149</v>
      </c>
      <c r="C68" s="67" t="s">
        <v>146</v>
      </c>
      <c r="D68" s="68"/>
      <c r="E68" s="68"/>
      <c r="F68" s="68"/>
      <c r="G68" s="68"/>
      <c r="H68" s="68"/>
    </row>
    <row r="69" spans="1:8" ht="47.25">
      <c r="A69" s="67" t="s">
        <v>438</v>
      </c>
      <c r="B69" s="75" t="s">
        <v>150</v>
      </c>
      <c r="C69" s="67" t="s">
        <v>146</v>
      </c>
      <c r="D69" s="68"/>
      <c r="E69" s="68"/>
      <c r="F69" s="68"/>
      <c r="G69" s="68"/>
      <c r="H69" s="68"/>
    </row>
    <row r="70" spans="1:8" ht="31.5">
      <c r="A70" s="67" t="s">
        <v>440</v>
      </c>
      <c r="B70" s="75" t="s">
        <v>267</v>
      </c>
      <c r="C70" s="67" t="s">
        <v>146</v>
      </c>
      <c r="D70" s="68"/>
      <c r="E70" s="68"/>
      <c r="F70" s="68"/>
      <c r="G70" s="68"/>
      <c r="H70" s="68"/>
    </row>
    <row r="71" spans="1:8" ht="31.5">
      <c r="A71" s="67" t="s">
        <v>441</v>
      </c>
      <c r="B71" s="75" t="s">
        <v>269</v>
      </c>
      <c r="C71" s="67" t="s">
        <v>146</v>
      </c>
      <c r="D71" s="68"/>
      <c r="E71" s="68"/>
      <c r="F71" s="68"/>
      <c r="G71" s="68"/>
      <c r="H71" s="68"/>
    </row>
    <row r="72" spans="1:8" ht="31.5">
      <c r="A72" s="67" t="s">
        <v>442</v>
      </c>
      <c r="B72" s="75" t="s">
        <v>271</v>
      </c>
      <c r="C72" s="67" t="s">
        <v>146</v>
      </c>
      <c r="D72" s="68"/>
      <c r="E72" s="68"/>
      <c r="F72" s="68"/>
      <c r="G72" s="68"/>
      <c r="H72" s="68"/>
    </row>
    <row r="73" spans="1:8" ht="31.5">
      <c r="A73" s="67" t="s">
        <v>443</v>
      </c>
      <c r="B73" s="75" t="s">
        <v>275</v>
      </c>
      <c r="C73" s="67" t="s">
        <v>146</v>
      </c>
      <c r="D73" s="68"/>
      <c r="E73" s="68"/>
      <c r="F73" s="68"/>
      <c r="G73" s="68"/>
      <c r="H73" s="68"/>
    </row>
    <row r="74" spans="1:8" ht="31.5">
      <c r="A74" s="67" t="s">
        <v>444</v>
      </c>
      <c r="B74" s="75" t="s">
        <v>277</v>
      </c>
      <c r="C74" s="67" t="s">
        <v>146</v>
      </c>
      <c r="D74" s="68"/>
      <c r="E74" s="68"/>
      <c r="F74" s="68"/>
      <c r="G74" s="68"/>
      <c r="H74" s="68"/>
    </row>
    <row r="75" spans="1:8" ht="47.25">
      <c r="A75" s="67" t="s">
        <v>445</v>
      </c>
      <c r="B75" s="75" t="s">
        <v>279</v>
      </c>
      <c r="C75" s="67" t="s">
        <v>146</v>
      </c>
      <c r="D75" s="68"/>
      <c r="E75" s="68"/>
      <c r="F75" s="68"/>
      <c r="G75" s="68"/>
      <c r="H75" s="68"/>
    </row>
    <row r="76" spans="1:8" ht="31.5">
      <c r="A76" s="67" t="s">
        <v>446</v>
      </c>
      <c r="B76" s="75" t="s">
        <v>158</v>
      </c>
      <c r="C76" s="67" t="s">
        <v>146</v>
      </c>
      <c r="D76" s="68"/>
      <c r="E76" s="68"/>
      <c r="F76" s="68"/>
      <c r="G76" s="68"/>
      <c r="H76" s="68"/>
    </row>
    <row r="77" spans="1:8" ht="31.5">
      <c r="A77" s="67" t="s">
        <v>447</v>
      </c>
      <c r="B77" s="75" t="s">
        <v>159</v>
      </c>
      <c r="C77" s="67" t="s">
        <v>146</v>
      </c>
      <c r="D77" s="68"/>
      <c r="E77" s="68"/>
      <c r="F77" s="68"/>
      <c r="G77" s="68"/>
      <c r="H77" s="68"/>
    </row>
    <row r="78" spans="1:8" ht="31.5">
      <c r="A78" s="67">
        <v>1.3</v>
      </c>
      <c r="B78" s="77" t="s">
        <v>448</v>
      </c>
      <c r="C78" s="67" t="s">
        <v>146</v>
      </c>
      <c r="D78" s="68"/>
      <c r="E78" s="68"/>
      <c r="F78" s="68"/>
      <c r="G78" s="68"/>
      <c r="H78" s="68"/>
    </row>
    <row r="79" spans="1:8" ht="31.5">
      <c r="A79" s="67">
        <v>1.4</v>
      </c>
      <c r="B79" s="75" t="s">
        <v>449</v>
      </c>
      <c r="C79" s="67" t="s">
        <v>146</v>
      </c>
      <c r="D79" s="68"/>
      <c r="E79" s="68"/>
      <c r="F79" s="68"/>
      <c r="G79" s="68"/>
      <c r="H79" s="68"/>
    </row>
    <row r="80" spans="1:8" ht="31.5">
      <c r="A80" s="80" t="s">
        <v>843</v>
      </c>
      <c r="B80" s="75" t="s">
        <v>450</v>
      </c>
      <c r="C80" s="67" t="s">
        <v>146</v>
      </c>
      <c r="D80" s="68"/>
      <c r="E80" s="68"/>
      <c r="F80" s="68"/>
      <c r="G80" s="68"/>
      <c r="H80" s="68"/>
    </row>
    <row r="81" spans="1:8" ht="31.5">
      <c r="A81" s="80" t="s">
        <v>844</v>
      </c>
      <c r="B81" s="75" t="s">
        <v>451</v>
      </c>
      <c r="C81" s="67" t="s">
        <v>146</v>
      </c>
      <c r="D81" s="68"/>
      <c r="E81" s="68"/>
      <c r="F81" s="68"/>
      <c r="G81" s="68"/>
      <c r="H81" s="68"/>
    </row>
    <row r="82" spans="1:8" ht="31.5">
      <c r="A82" s="67" t="s">
        <v>161</v>
      </c>
      <c r="B82" s="68" t="s">
        <v>452</v>
      </c>
      <c r="C82" s="67" t="s">
        <v>146</v>
      </c>
      <c r="D82" s="68"/>
      <c r="E82" s="68"/>
      <c r="F82" s="68"/>
      <c r="G82" s="68"/>
      <c r="H82" s="68"/>
    </row>
    <row r="83" spans="1:8" ht="31.5">
      <c r="A83" s="67">
        <v>2.1</v>
      </c>
      <c r="B83" s="75" t="s">
        <v>453</v>
      </c>
      <c r="C83" s="67" t="s">
        <v>146</v>
      </c>
      <c r="D83" s="68"/>
      <c r="E83" s="68"/>
      <c r="F83" s="68"/>
      <c r="G83" s="68"/>
      <c r="H83" s="68"/>
    </row>
    <row r="84" spans="1:8" ht="31.5">
      <c r="A84" s="67">
        <v>2.2000000000000002</v>
      </c>
      <c r="B84" s="75" t="s">
        <v>454</v>
      </c>
      <c r="C84" s="67" t="s">
        <v>146</v>
      </c>
      <c r="D84" s="68"/>
      <c r="E84" s="68"/>
      <c r="F84" s="68"/>
      <c r="G84" s="68"/>
      <c r="H84" s="68"/>
    </row>
    <row r="85" spans="1:8" ht="31.5">
      <c r="A85" s="67">
        <v>2.2999999999999998</v>
      </c>
      <c r="B85" s="75" t="s">
        <v>652</v>
      </c>
      <c r="C85" s="67" t="s">
        <v>146</v>
      </c>
      <c r="D85" s="68"/>
      <c r="E85" s="68"/>
      <c r="F85" s="68"/>
      <c r="G85" s="68"/>
      <c r="H85" s="68"/>
    </row>
    <row r="86" spans="1:8" ht="31.5">
      <c r="A86" s="67">
        <v>2.4</v>
      </c>
      <c r="B86" s="75" t="s">
        <v>456</v>
      </c>
      <c r="C86" s="67" t="s">
        <v>146</v>
      </c>
      <c r="D86" s="68"/>
      <c r="E86" s="68"/>
      <c r="F86" s="68"/>
      <c r="G86" s="68"/>
      <c r="H86" s="68"/>
    </row>
    <row r="87" spans="1:8" ht="31.5">
      <c r="A87" s="67">
        <v>2.5</v>
      </c>
      <c r="B87" s="75" t="s">
        <v>457</v>
      </c>
      <c r="C87" s="67" t="s">
        <v>146</v>
      </c>
      <c r="D87" s="68"/>
      <c r="E87" s="68"/>
      <c r="F87" s="68"/>
      <c r="G87" s="68"/>
      <c r="H87" s="68"/>
    </row>
    <row r="88" spans="1:8" ht="31.5">
      <c r="A88" s="80" t="s">
        <v>759</v>
      </c>
      <c r="B88" s="75" t="s">
        <v>458</v>
      </c>
      <c r="C88" s="67" t="s">
        <v>146</v>
      </c>
      <c r="D88" s="68"/>
      <c r="E88" s="68"/>
      <c r="F88" s="68"/>
      <c r="G88" s="68"/>
      <c r="H88" s="68"/>
    </row>
    <row r="89" spans="1:8" ht="47.25">
      <c r="A89" s="67" t="s">
        <v>459</v>
      </c>
      <c r="B89" s="75" t="s">
        <v>460</v>
      </c>
      <c r="C89" s="67" t="s">
        <v>146</v>
      </c>
      <c r="D89" s="68"/>
      <c r="E89" s="68"/>
      <c r="F89" s="68"/>
      <c r="G89" s="68"/>
      <c r="H89" s="68"/>
    </row>
    <row r="90" spans="1:8" ht="31.5">
      <c r="A90" s="80" t="s">
        <v>760</v>
      </c>
      <c r="B90" s="75" t="s">
        <v>461</v>
      </c>
      <c r="C90" s="67" t="s">
        <v>146</v>
      </c>
      <c r="D90" s="68"/>
      <c r="E90" s="68"/>
      <c r="F90" s="68"/>
      <c r="G90" s="68"/>
      <c r="H90" s="68"/>
    </row>
    <row r="91" spans="1:8" ht="78.75">
      <c r="A91" s="67" t="s">
        <v>462</v>
      </c>
      <c r="B91" s="75" t="s">
        <v>463</v>
      </c>
      <c r="C91" s="67" t="s">
        <v>146</v>
      </c>
      <c r="D91" s="68"/>
      <c r="E91" s="68"/>
      <c r="F91" s="68"/>
      <c r="G91" s="68"/>
      <c r="H91" s="68"/>
    </row>
    <row r="92" spans="1:8" ht="31.5">
      <c r="A92" s="67">
        <v>2.6</v>
      </c>
      <c r="B92" s="75" t="s">
        <v>464</v>
      </c>
      <c r="C92" s="67" t="s">
        <v>146</v>
      </c>
      <c r="D92" s="68"/>
      <c r="E92" s="68"/>
      <c r="F92" s="68"/>
      <c r="G92" s="68"/>
      <c r="H92" s="68"/>
    </row>
    <row r="93" spans="1:8" ht="31.5">
      <c r="A93" s="67">
        <v>2.7</v>
      </c>
      <c r="B93" s="75" t="s">
        <v>465</v>
      </c>
      <c r="C93" s="67" t="s">
        <v>146</v>
      </c>
      <c r="D93" s="68"/>
      <c r="E93" s="68"/>
      <c r="F93" s="68"/>
      <c r="G93" s="68"/>
      <c r="H93" s="68"/>
    </row>
    <row r="94" spans="1:8">
      <c r="A94" s="67" t="s">
        <v>202</v>
      </c>
      <c r="B94" s="68" t="s">
        <v>198</v>
      </c>
      <c r="C94" s="67" t="s">
        <v>256</v>
      </c>
      <c r="D94" s="68"/>
      <c r="E94" s="68"/>
      <c r="F94" s="68"/>
      <c r="G94" s="68"/>
      <c r="H94" s="68"/>
    </row>
    <row r="95" spans="1:8" ht="94.5">
      <c r="A95" s="67" t="s">
        <v>653</v>
      </c>
      <c r="B95" s="75" t="s">
        <v>466</v>
      </c>
      <c r="C95" s="67" t="s">
        <v>146</v>
      </c>
      <c r="D95" s="68"/>
      <c r="E95" s="68"/>
      <c r="F95" s="68"/>
      <c r="G95" s="68"/>
      <c r="H95" s="68"/>
    </row>
    <row r="96" spans="1:8" ht="31.5">
      <c r="A96" s="80" t="s">
        <v>767</v>
      </c>
      <c r="B96" s="75" t="s">
        <v>467</v>
      </c>
      <c r="C96" s="67" t="s">
        <v>146</v>
      </c>
      <c r="D96" s="68"/>
      <c r="E96" s="68"/>
      <c r="F96" s="68"/>
      <c r="G96" s="68"/>
      <c r="H96" s="68"/>
    </row>
    <row r="97" spans="1:8" ht="47.25">
      <c r="A97" s="80" t="s">
        <v>768</v>
      </c>
      <c r="B97" s="75" t="s">
        <v>468</v>
      </c>
      <c r="C97" s="67" t="s">
        <v>146</v>
      </c>
      <c r="D97" s="68"/>
      <c r="E97" s="68"/>
      <c r="F97" s="68"/>
      <c r="G97" s="68"/>
      <c r="H97" s="68"/>
    </row>
    <row r="98" spans="1:8" ht="31.5">
      <c r="A98" s="80" t="s">
        <v>769</v>
      </c>
      <c r="B98" s="75" t="s">
        <v>469</v>
      </c>
      <c r="C98" s="67" t="s">
        <v>146</v>
      </c>
      <c r="D98" s="68"/>
      <c r="E98" s="68"/>
      <c r="F98" s="68"/>
      <c r="G98" s="68"/>
      <c r="H98" s="68"/>
    </row>
    <row r="99" spans="1:8" ht="63">
      <c r="A99" s="67">
        <v>3.2</v>
      </c>
      <c r="B99" s="75" t="s">
        <v>470</v>
      </c>
      <c r="C99" s="67" t="s">
        <v>256</v>
      </c>
      <c r="D99" s="68"/>
      <c r="E99" s="68"/>
      <c r="F99" s="68"/>
      <c r="G99" s="68"/>
      <c r="H99" s="68"/>
    </row>
    <row r="100" spans="1:8" ht="31.5">
      <c r="A100" s="80" t="s">
        <v>845</v>
      </c>
      <c r="B100" s="75" t="s">
        <v>471</v>
      </c>
      <c r="C100" s="67" t="s">
        <v>146</v>
      </c>
      <c r="D100" s="68"/>
      <c r="E100" s="68"/>
      <c r="F100" s="68"/>
      <c r="G100" s="68"/>
      <c r="H100" s="68"/>
    </row>
    <row r="101" spans="1:8" ht="31.5">
      <c r="A101" s="80" t="s">
        <v>846</v>
      </c>
      <c r="B101" s="75" t="s">
        <v>472</v>
      </c>
      <c r="C101" s="67" t="s">
        <v>146</v>
      </c>
      <c r="D101" s="68"/>
      <c r="E101" s="68"/>
      <c r="F101" s="68"/>
      <c r="G101" s="68"/>
      <c r="H101" s="68"/>
    </row>
    <row r="102" spans="1:8" ht="31.5">
      <c r="A102" s="80" t="s">
        <v>847</v>
      </c>
      <c r="B102" s="76" t="s">
        <v>473</v>
      </c>
      <c r="C102" s="67" t="s">
        <v>146</v>
      </c>
      <c r="D102" s="68"/>
      <c r="E102" s="68"/>
      <c r="F102" s="68"/>
      <c r="G102" s="68"/>
      <c r="H102" s="68"/>
    </row>
    <row r="103" spans="1:8" ht="31.5">
      <c r="A103" s="67" t="s">
        <v>232</v>
      </c>
      <c r="B103" s="68" t="s">
        <v>233</v>
      </c>
      <c r="C103" s="67" t="s">
        <v>146</v>
      </c>
      <c r="D103" s="68"/>
      <c r="E103" s="68"/>
      <c r="F103" s="68"/>
      <c r="G103" s="68"/>
      <c r="H103" s="68"/>
    </row>
    <row r="104" spans="1:8" ht="31.5">
      <c r="A104" s="67">
        <v>8.1</v>
      </c>
      <c r="B104" s="75" t="s">
        <v>654</v>
      </c>
      <c r="C104" s="67" t="s">
        <v>146</v>
      </c>
      <c r="D104" s="68"/>
      <c r="E104" s="68"/>
      <c r="F104" s="68"/>
      <c r="G104" s="68"/>
      <c r="H104" s="68"/>
    </row>
    <row r="105" spans="1:8" ht="31.5">
      <c r="A105" s="67">
        <v>8.1999999999999993</v>
      </c>
      <c r="B105" s="75" t="s">
        <v>655</v>
      </c>
      <c r="C105" s="67" t="s">
        <v>146</v>
      </c>
      <c r="D105" s="68"/>
      <c r="E105" s="68"/>
      <c r="F105" s="68"/>
      <c r="G105" s="68"/>
      <c r="H105" s="68"/>
    </row>
    <row r="106" spans="1:8" ht="31.5">
      <c r="A106" s="67">
        <v>8.3000000000000007</v>
      </c>
      <c r="B106" s="75" t="s">
        <v>235</v>
      </c>
      <c r="C106" s="67" t="s">
        <v>146</v>
      </c>
      <c r="D106" s="68"/>
      <c r="E106" s="68"/>
      <c r="F106" s="68"/>
      <c r="G106" s="68"/>
      <c r="H106" s="68"/>
    </row>
    <row r="107" spans="1:8" ht="31.5">
      <c r="A107" s="67">
        <v>8.4</v>
      </c>
      <c r="B107" s="75" t="s">
        <v>656</v>
      </c>
      <c r="C107" s="67" t="s">
        <v>146</v>
      </c>
      <c r="D107" s="68"/>
      <c r="E107" s="68"/>
      <c r="F107" s="68"/>
      <c r="G107" s="68"/>
      <c r="H107" s="68"/>
    </row>
    <row r="108" spans="1:8">
      <c r="A108" s="67" t="s">
        <v>657</v>
      </c>
      <c r="B108" s="68" t="s">
        <v>198</v>
      </c>
      <c r="C108" s="67" t="s">
        <v>256</v>
      </c>
      <c r="D108" s="68"/>
      <c r="E108" s="68"/>
      <c r="F108" s="68"/>
      <c r="G108" s="68"/>
      <c r="H108" s="68"/>
    </row>
    <row r="109" spans="1:8" ht="47.25">
      <c r="A109" s="67">
        <v>9.1</v>
      </c>
      <c r="B109" s="75" t="s">
        <v>658</v>
      </c>
      <c r="C109" s="67" t="s">
        <v>146</v>
      </c>
      <c r="D109" s="68"/>
      <c r="E109" s="68"/>
      <c r="F109" s="68"/>
      <c r="G109" s="68"/>
      <c r="H109" s="68"/>
    </row>
    <row r="110" spans="1:8" ht="31.5">
      <c r="A110" s="67">
        <v>9.1999999999999993</v>
      </c>
      <c r="B110" s="75" t="s">
        <v>659</v>
      </c>
      <c r="C110" s="67" t="s">
        <v>146</v>
      </c>
      <c r="D110" s="68"/>
      <c r="E110" s="68"/>
      <c r="F110" s="68"/>
      <c r="G110" s="68"/>
      <c r="H110" s="68"/>
    </row>
    <row r="111" spans="1:8" ht="31.5">
      <c r="A111" s="80" t="s">
        <v>848</v>
      </c>
      <c r="B111" s="75" t="s">
        <v>660</v>
      </c>
      <c r="C111" s="67" t="s">
        <v>146</v>
      </c>
      <c r="D111" s="68"/>
      <c r="E111" s="68"/>
      <c r="F111" s="68"/>
      <c r="G111" s="68"/>
      <c r="H111" s="68"/>
    </row>
    <row r="112" spans="1:8" ht="31.5">
      <c r="A112" s="67">
        <v>9.3000000000000007</v>
      </c>
      <c r="B112" s="75" t="s">
        <v>661</v>
      </c>
      <c r="C112" s="67" t="s">
        <v>146</v>
      </c>
      <c r="D112" s="68"/>
      <c r="E112" s="68"/>
      <c r="F112" s="68"/>
      <c r="G112" s="68"/>
      <c r="H112" s="68"/>
    </row>
    <row r="113" spans="1:8" ht="31.5">
      <c r="A113" s="80" t="s">
        <v>849</v>
      </c>
      <c r="B113" s="75" t="s">
        <v>662</v>
      </c>
      <c r="C113" s="67" t="s">
        <v>146</v>
      </c>
      <c r="D113" s="68"/>
      <c r="E113" s="68"/>
      <c r="F113" s="68"/>
      <c r="G113" s="68"/>
      <c r="H113" s="68"/>
    </row>
    <row r="114" spans="1:8" ht="63">
      <c r="A114" s="67">
        <v>9.4</v>
      </c>
      <c r="B114" s="75" t="s">
        <v>663</v>
      </c>
      <c r="C114" s="67" t="s">
        <v>256</v>
      </c>
      <c r="D114" s="68"/>
      <c r="E114" s="68"/>
      <c r="F114" s="68"/>
      <c r="G114" s="68"/>
      <c r="H114" s="68"/>
    </row>
    <row r="115" spans="1:8">
      <c r="A115" s="751" t="s">
        <v>664</v>
      </c>
      <c r="B115" s="751"/>
      <c r="C115" s="751"/>
      <c r="D115" s="751"/>
      <c r="E115" s="751"/>
      <c r="F115" s="751"/>
      <c r="G115" s="751"/>
      <c r="H115" s="751"/>
    </row>
    <row r="116" spans="1:8" ht="31.5">
      <c r="A116" s="67" t="s">
        <v>330</v>
      </c>
      <c r="B116" s="68" t="s">
        <v>665</v>
      </c>
      <c r="C116" s="67" t="s">
        <v>146</v>
      </c>
      <c r="D116" s="68"/>
      <c r="E116" s="68"/>
      <c r="F116" s="68"/>
      <c r="G116" s="68"/>
      <c r="H116" s="68"/>
    </row>
    <row r="117" spans="1:8" ht="31.5">
      <c r="A117" s="67">
        <v>10.1</v>
      </c>
      <c r="B117" s="75" t="s">
        <v>147</v>
      </c>
      <c r="C117" s="67" t="s">
        <v>146</v>
      </c>
      <c r="D117" s="68"/>
      <c r="E117" s="68"/>
      <c r="F117" s="68"/>
      <c r="G117" s="68"/>
      <c r="H117" s="68"/>
    </row>
    <row r="118" spans="1:8" ht="47.25">
      <c r="A118" s="80" t="s">
        <v>850</v>
      </c>
      <c r="B118" s="75" t="s">
        <v>148</v>
      </c>
      <c r="C118" s="67" t="s">
        <v>146</v>
      </c>
      <c r="D118" s="68"/>
      <c r="E118" s="68"/>
      <c r="F118" s="68"/>
      <c r="G118" s="68"/>
      <c r="H118" s="68"/>
    </row>
    <row r="119" spans="1:8" ht="47.25">
      <c r="A119" s="80" t="s">
        <v>851</v>
      </c>
      <c r="B119" s="75" t="s">
        <v>149</v>
      </c>
      <c r="C119" s="67" t="s">
        <v>146</v>
      </c>
      <c r="D119" s="68"/>
      <c r="E119" s="68"/>
      <c r="F119" s="68"/>
      <c r="G119" s="68"/>
      <c r="H119" s="68"/>
    </row>
    <row r="120" spans="1:8" ht="47.25">
      <c r="A120" s="80" t="s">
        <v>852</v>
      </c>
      <c r="B120" s="75" t="s">
        <v>150</v>
      </c>
      <c r="C120" s="67" t="s">
        <v>146</v>
      </c>
      <c r="D120" s="68"/>
      <c r="E120" s="68"/>
      <c r="F120" s="68"/>
      <c r="G120" s="68"/>
      <c r="H120" s="68"/>
    </row>
    <row r="121" spans="1:8" ht="31.5">
      <c r="A121" s="67">
        <v>10.199999999999999</v>
      </c>
      <c r="B121" s="75" t="s">
        <v>151</v>
      </c>
      <c r="C121" s="67" t="s">
        <v>146</v>
      </c>
      <c r="D121" s="68"/>
      <c r="E121" s="68"/>
      <c r="F121" s="68"/>
      <c r="G121" s="68"/>
      <c r="H121" s="68"/>
    </row>
    <row r="122" spans="1:8" ht="31.5">
      <c r="A122" s="67">
        <v>10.3</v>
      </c>
      <c r="B122" s="75" t="s">
        <v>152</v>
      </c>
      <c r="C122" s="67" t="s">
        <v>146</v>
      </c>
      <c r="D122" s="68"/>
      <c r="E122" s="68"/>
      <c r="F122" s="68"/>
      <c r="G122" s="68"/>
      <c r="H122" s="68"/>
    </row>
    <row r="123" spans="1:8" ht="31.5">
      <c r="A123" s="67">
        <v>10.4</v>
      </c>
      <c r="B123" s="75" t="s">
        <v>153</v>
      </c>
      <c r="C123" s="67" t="s">
        <v>146</v>
      </c>
      <c r="D123" s="68"/>
      <c r="E123" s="68"/>
      <c r="F123" s="68"/>
      <c r="G123" s="68"/>
      <c r="H123" s="68"/>
    </row>
    <row r="124" spans="1:8" ht="31.5">
      <c r="A124" s="67">
        <v>10.5</v>
      </c>
      <c r="B124" s="75" t="s">
        <v>154</v>
      </c>
      <c r="C124" s="67" t="s">
        <v>146</v>
      </c>
      <c r="D124" s="68"/>
      <c r="E124" s="68"/>
      <c r="F124" s="68"/>
      <c r="G124" s="68"/>
      <c r="H124" s="68"/>
    </row>
    <row r="125" spans="1:8" ht="31.5">
      <c r="A125" s="67">
        <v>10.6</v>
      </c>
      <c r="B125" s="75" t="s">
        <v>155</v>
      </c>
      <c r="C125" s="67" t="s">
        <v>146</v>
      </c>
      <c r="D125" s="68"/>
      <c r="E125" s="68"/>
      <c r="F125" s="68"/>
      <c r="G125" s="68"/>
      <c r="H125" s="68"/>
    </row>
    <row r="126" spans="1:8" ht="31.5">
      <c r="A126" s="67">
        <v>10.7</v>
      </c>
      <c r="B126" s="75" t="s">
        <v>156</v>
      </c>
      <c r="C126" s="67" t="s">
        <v>146</v>
      </c>
      <c r="D126" s="68"/>
      <c r="E126" s="68"/>
      <c r="F126" s="68"/>
      <c r="G126" s="68"/>
      <c r="H126" s="68"/>
    </row>
    <row r="127" spans="1:8" ht="47.25">
      <c r="A127" s="67">
        <v>10.8</v>
      </c>
      <c r="B127" s="75" t="s">
        <v>157</v>
      </c>
      <c r="C127" s="67" t="s">
        <v>146</v>
      </c>
      <c r="D127" s="68"/>
      <c r="E127" s="68"/>
      <c r="F127" s="68"/>
      <c r="G127" s="68"/>
      <c r="H127" s="68"/>
    </row>
    <row r="128" spans="1:8" ht="31.5">
      <c r="A128" s="80" t="s">
        <v>853</v>
      </c>
      <c r="B128" s="75" t="s">
        <v>158</v>
      </c>
      <c r="C128" s="67" t="s">
        <v>146</v>
      </c>
      <c r="D128" s="68"/>
      <c r="E128" s="68"/>
      <c r="F128" s="68"/>
      <c r="G128" s="68"/>
      <c r="H128" s="68"/>
    </row>
    <row r="129" spans="1:8" ht="31.5">
      <c r="A129" s="80" t="s">
        <v>854</v>
      </c>
      <c r="B129" s="75" t="s">
        <v>159</v>
      </c>
      <c r="C129" s="67" t="s">
        <v>146</v>
      </c>
      <c r="D129" s="68"/>
      <c r="E129" s="68"/>
      <c r="F129" s="68"/>
      <c r="G129" s="68"/>
      <c r="H129" s="68"/>
    </row>
    <row r="130" spans="1:8" ht="63">
      <c r="A130" s="67">
        <v>10.9</v>
      </c>
      <c r="B130" s="75" t="s">
        <v>666</v>
      </c>
      <c r="C130" s="67" t="s">
        <v>146</v>
      </c>
      <c r="D130" s="68"/>
      <c r="E130" s="68"/>
      <c r="F130" s="68"/>
      <c r="G130" s="68"/>
      <c r="H130" s="68"/>
    </row>
    <row r="131" spans="1:8" ht="31.5">
      <c r="A131" s="80" t="s">
        <v>855</v>
      </c>
      <c r="B131" s="75" t="s">
        <v>667</v>
      </c>
      <c r="C131" s="67" t="s">
        <v>146</v>
      </c>
      <c r="D131" s="68"/>
      <c r="E131" s="68"/>
      <c r="F131" s="68"/>
      <c r="G131" s="68"/>
      <c r="H131" s="68"/>
    </row>
    <row r="132" spans="1:8" ht="31.5">
      <c r="A132" s="80" t="s">
        <v>856</v>
      </c>
      <c r="B132" s="75" t="s">
        <v>668</v>
      </c>
      <c r="C132" s="67" t="s">
        <v>146</v>
      </c>
      <c r="D132" s="68"/>
      <c r="E132" s="68"/>
      <c r="F132" s="68"/>
      <c r="G132" s="68"/>
      <c r="H132" s="68"/>
    </row>
    <row r="133" spans="1:8" ht="31.5">
      <c r="A133" s="67">
        <v>10.1</v>
      </c>
      <c r="B133" s="75" t="s">
        <v>160</v>
      </c>
      <c r="C133" s="67" t="s">
        <v>146</v>
      </c>
      <c r="D133" s="68"/>
      <c r="E133" s="68"/>
      <c r="F133" s="68"/>
      <c r="G133" s="68"/>
      <c r="H133" s="68"/>
    </row>
    <row r="134" spans="1:8" ht="31.5">
      <c r="A134" s="67" t="s">
        <v>669</v>
      </c>
      <c r="B134" s="68" t="s">
        <v>670</v>
      </c>
      <c r="C134" s="67" t="s">
        <v>146</v>
      </c>
      <c r="D134" s="68"/>
      <c r="E134" s="68"/>
      <c r="F134" s="68"/>
      <c r="G134" s="68"/>
      <c r="H134" s="68"/>
    </row>
    <row r="135" spans="1:8" ht="31.5">
      <c r="A135" s="67">
        <v>11.1</v>
      </c>
      <c r="B135" s="75" t="s">
        <v>671</v>
      </c>
      <c r="C135" s="67" t="s">
        <v>146</v>
      </c>
      <c r="D135" s="68"/>
      <c r="E135" s="68"/>
      <c r="F135" s="68"/>
      <c r="G135" s="68"/>
      <c r="H135" s="68"/>
    </row>
    <row r="136" spans="1:8" ht="31.5">
      <c r="A136" s="67">
        <v>11.2</v>
      </c>
      <c r="B136" s="75" t="s">
        <v>672</v>
      </c>
      <c r="C136" s="67" t="s">
        <v>146</v>
      </c>
      <c r="D136" s="68"/>
      <c r="E136" s="68"/>
      <c r="F136" s="68"/>
      <c r="G136" s="68"/>
      <c r="H136" s="68"/>
    </row>
    <row r="137" spans="1:8" ht="31.5">
      <c r="A137" s="80" t="s">
        <v>857</v>
      </c>
      <c r="B137" s="75" t="s">
        <v>292</v>
      </c>
      <c r="C137" s="67" t="s">
        <v>146</v>
      </c>
      <c r="D137" s="68"/>
      <c r="E137" s="68"/>
      <c r="F137" s="68"/>
      <c r="G137" s="68"/>
      <c r="H137" s="68"/>
    </row>
    <row r="138" spans="1:8" ht="31.5">
      <c r="A138" s="80" t="s">
        <v>858</v>
      </c>
      <c r="B138" s="75" t="s">
        <v>673</v>
      </c>
      <c r="C138" s="67" t="s">
        <v>146</v>
      </c>
      <c r="D138" s="68"/>
      <c r="E138" s="68"/>
      <c r="F138" s="68"/>
      <c r="G138" s="68"/>
      <c r="H138" s="68"/>
    </row>
    <row r="139" spans="1:8" ht="31.5">
      <c r="A139" s="80" t="s">
        <v>859</v>
      </c>
      <c r="B139" s="75" t="s">
        <v>674</v>
      </c>
      <c r="C139" s="67" t="s">
        <v>146</v>
      </c>
      <c r="D139" s="68"/>
      <c r="E139" s="68"/>
      <c r="F139" s="68"/>
      <c r="G139" s="68"/>
      <c r="H139" s="68"/>
    </row>
    <row r="140" spans="1:8" ht="47.25">
      <c r="A140" s="67">
        <v>11.3</v>
      </c>
      <c r="B140" s="75" t="s">
        <v>675</v>
      </c>
      <c r="C140" s="67" t="s">
        <v>146</v>
      </c>
      <c r="D140" s="68"/>
      <c r="E140" s="68"/>
      <c r="F140" s="68"/>
      <c r="G140" s="68"/>
      <c r="H140" s="68"/>
    </row>
    <row r="141" spans="1:8" ht="47.25">
      <c r="A141" s="67">
        <v>11.4</v>
      </c>
      <c r="B141" s="75" t="s">
        <v>676</v>
      </c>
      <c r="C141" s="67" t="s">
        <v>146</v>
      </c>
      <c r="D141" s="68"/>
      <c r="E141" s="68"/>
      <c r="F141" s="68"/>
      <c r="G141" s="68"/>
      <c r="H141" s="68"/>
    </row>
    <row r="142" spans="1:8" ht="31.5">
      <c r="A142" s="67">
        <v>11.5</v>
      </c>
      <c r="B142" s="75" t="s">
        <v>677</v>
      </c>
      <c r="C142" s="67" t="s">
        <v>146</v>
      </c>
      <c r="D142" s="68"/>
      <c r="E142" s="68"/>
      <c r="F142" s="68"/>
      <c r="G142" s="68"/>
      <c r="H142" s="68"/>
    </row>
    <row r="143" spans="1:8" ht="31.5">
      <c r="A143" s="67">
        <v>11.6</v>
      </c>
      <c r="B143" s="75" t="s">
        <v>678</v>
      </c>
      <c r="C143" s="67" t="s">
        <v>146</v>
      </c>
      <c r="D143" s="68"/>
      <c r="E143" s="68"/>
      <c r="F143" s="68"/>
      <c r="G143" s="68"/>
      <c r="H143" s="68"/>
    </row>
    <row r="144" spans="1:8" ht="31.5">
      <c r="A144" s="67">
        <v>11.7</v>
      </c>
      <c r="B144" s="75" t="s">
        <v>679</v>
      </c>
      <c r="C144" s="67" t="s">
        <v>146</v>
      </c>
      <c r="D144" s="68"/>
      <c r="E144" s="68"/>
      <c r="F144" s="68"/>
      <c r="G144" s="68"/>
      <c r="H144" s="68"/>
    </row>
    <row r="145" spans="1:8" ht="31.5">
      <c r="A145" s="67">
        <v>11.8</v>
      </c>
      <c r="B145" s="75" t="s">
        <v>680</v>
      </c>
      <c r="C145" s="67" t="s">
        <v>146</v>
      </c>
      <c r="D145" s="68"/>
      <c r="E145" s="68"/>
      <c r="F145" s="68"/>
      <c r="G145" s="68"/>
      <c r="H145" s="68"/>
    </row>
    <row r="146" spans="1:8" ht="31.5">
      <c r="A146" s="80" t="s">
        <v>860</v>
      </c>
      <c r="B146" s="75" t="s">
        <v>681</v>
      </c>
      <c r="C146" s="67" t="s">
        <v>146</v>
      </c>
      <c r="D146" s="68"/>
      <c r="E146" s="68"/>
      <c r="F146" s="68"/>
      <c r="G146" s="68"/>
      <c r="H146" s="68"/>
    </row>
    <row r="147" spans="1:8" ht="31.5">
      <c r="A147" s="67">
        <v>11.9</v>
      </c>
      <c r="B147" s="75" t="s">
        <v>682</v>
      </c>
      <c r="C147" s="67" t="s">
        <v>146</v>
      </c>
      <c r="D147" s="68"/>
      <c r="E147" s="68"/>
      <c r="F147" s="68"/>
      <c r="G147" s="68"/>
      <c r="H147" s="68"/>
    </row>
    <row r="148" spans="1:8" ht="31.5">
      <c r="A148" s="67">
        <v>11.1</v>
      </c>
      <c r="B148" s="75" t="s">
        <v>683</v>
      </c>
      <c r="C148" s="67" t="s">
        <v>146</v>
      </c>
      <c r="D148" s="68"/>
      <c r="E148" s="68"/>
      <c r="F148" s="68"/>
      <c r="G148" s="68"/>
      <c r="H148" s="68"/>
    </row>
    <row r="149" spans="1:8" ht="31.5">
      <c r="A149" s="67">
        <v>11.11</v>
      </c>
      <c r="B149" s="75" t="s">
        <v>684</v>
      </c>
      <c r="C149" s="67" t="s">
        <v>146</v>
      </c>
      <c r="D149" s="68"/>
      <c r="E149" s="68"/>
      <c r="F149" s="68"/>
      <c r="G149" s="68"/>
      <c r="H149" s="68"/>
    </row>
    <row r="150" spans="1:8" ht="63">
      <c r="A150" s="67">
        <v>11.12</v>
      </c>
      <c r="B150" s="75" t="s">
        <v>685</v>
      </c>
      <c r="C150" s="67" t="s">
        <v>146</v>
      </c>
      <c r="D150" s="68"/>
      <c r="E150" s="68"/>
      <c r="F150" s="68"/>
      <c r="G150" s="68"/>
      <c r="H150" s="68"/>
    </row>
    <row r="151" spans="1:8" ht="31.5">
      <c r="A151" s="67">
        <v>11.13</v>
      </c>
      <c r="B151" s="75" t="s">
        <v>686</v>
      </c>
      <c r="C151" s="67" t="s">
        <v>146</v>
      </c>
      <c r="D151" s="68"/>
      <c r="E151" s="68"/>
      <c r="F151" s="68"/>
      <c r="G151" s="68"/>
      <c r="H151" s="68"/>
    </row>
    <row r="152" spans="1:8" ht="31.5">
      <c r="A152" s="67" t="s">
        <v>687</v>
      </c>
      <c r="B152" s="68" t="s">
        <v>688</v>
      </c>
      <c r="C152" s="67" t="s">
        <v>146</v>
      </c>
      <c r="D152" s="68"/>
      <c r="E152" s="68"/>
      <c r="F152" s="68"/>
      <c r="G152" s="68"/>
      <c r="H152" s="68"/>
    </row>
    <row r="153" spans="1:8" ht="31.5">
      <c r="A153" s="67">
        <v>12.1</v>
      </c>
      <c r="B153" s="75" t="s">
        <v>689</v>
      </c>
      <c r="C153" s="67" t="s">
        <v>146</v>
      </c>
      <c r="D153" s="68"/>
      <c r="E153" s="68"/>
      <c r="F153" s="68"/>
      <c r="G153" s="68"/>
      <c r="H153" s="68"/>
    </row>
    <row r="154" spans="1:8" ht="47.25">
      <c r="A154" s="67">
        <v>12.2</v>
      </c>
      <c r="B154" s="75" t="s">
        <v>690</v>
      </c>
      <c r="C154" s="67" t="s">
        <v>146</v>
      </c>
      <c r="D154" s="68"/>
      <c r="E154" s="68"/>
      <c r="F154" s="68"/>
      <c r="G154" s="68"/>
      <c r="H154" s="68"/>
    </row>
    <row r="155" spans="1:8" ht="47.25">
      <c r="A155" s="80" t="s">
        <v>861</v>
      </c>
      <c r="B155" s="75" t="s">
        <v>691</v>
      </c>
      <c r="C155" s="67" t="s">
        <v>146</v>
      </c>
      <c r="D155" s="68"/>
      <c r="E155" s="68"/>
      <c r="F155" s="68"/>
      <c r="G155" s="68"/>
      <c r="H155" s="68"/>
    </row>
    <row r="156" spans="1:8" ht="31.5">
      <c r="A156" s="67" t="s">
        <v>692</v>
      </c>
      <c r="B156" s="75" t="s">
        <v>458</v>
      </c>
      <c r="C156" s="67" t="s">
        <v>146</v>
      </c>
      <c r="D156" s="68"/>
      <c r="E156" s="68"/>
      <c r="F156" s="68"/>
      <c r="G156" s="68"/>
      <c r="H156" s="68"/>
    </row>
    <row r="157" spans="1:8" ht="31.5">
      <c r="A157" s="67" t="s">
        <v>693</v>
      </c>
      <c r="B157" s="75" t="s">
        <v>461</v>
      </c>
      <c r="C157" s="67" t="s">
        <v>146</v>
      </c>
      <c r="D157" s="68"/>
      <c r="E157" s="68"/>
      <c r="F157" s="68"/>
      <c r="G157" s="68"/>
      <c r="H157" s="68"/>
    </row>
    <row r="158" spans="1:8" ht="31.5">
      <c r="A158" s="67">
        <v>12.3</v>
      </c>
      <c r="B158" s="75" t="s">
        <v>694</v>
      </c>
      <c r="C158" s="67" t="s">
        <v>146</v>
      </c>
      <c r="D158" s="68"/>
      <c r="E158" s="68"/>
      <c r="F158" s="68"/>
      <c r="G158" s="68"/>
      <c r="H158" s="68"/>
    </row>
    <row r="159" spans="1:8" ht="31.5">
      <c r="A159" s="67" t="s">
        <v>695</v>
      </c>
      <c r="B159" s="68" t="s">
        <v>696</v>
      </c>
      <c r="C159" s="67" t="s">
        <v>146</v>
      </c>
      <c r="D159" s="68"/>
      <c r="E159" s="68"/>
      <c r="F159" s="68"/>
      <c r="G159" s="68"/>
      <c r="H159" s="68"/>
    </row>
    <row r="160" spans="1:8" ht="31.5">
      <c r="A160" s="67">
        <v>13.1</v>
      </c>
      <c r="B160" s="75" t="s">
        <v>697</v>
      </c>
      <c r="C160" s="67" t="s">
        <v>146</v>
      </c>
      <c r="D160" s="68"/>
      <c r="E160" s="68"/>
      <c r="F160" s="68"/>
      <c r="G160" s="68"/>
      <c r="H160" s="68"/>
    </row>
    <row r="161" spans="1:8" ht="31.5">
      <c r="A161" s="80" t="s">
        <v>862</v>
      </c>
      <c r="B161" s="75" t="s">
        <v>698</v>
      </c>
      <c r="C161" s="67" t="s">
        <v>146</v>
      </c>
      <c r="D161" s="68"/>
      <c r="E161" s="68"/>
      <c r="F161" s="68"/>
      <c r="G161" s="68"/>
      <c r="H161" s="68"/>
    </row>
    <row r="162" spans="1:8" ht="31.5">
      <c r="A162" s="80" t="s">
        <v>863</v>
      </c>
      <c r="B162" s="75" t="s">
        <v>699</v>
      </c>
      <c r="C162" s="67" t="s">
        <v>146</v>
      </c>
      <c r="D162" s="68"/>
      <c r="E162" s="68"/>
      <c r="F162" s="68"/>
      <c r="G162" s="68"/>
      <c r="H162" s="68"/>
    </row>
    <row r="163" spans="1:8" ht="47.25">
      <c r="A163" s="80" t="s">
        <v>864</v>
      </c>
      <c r="B163" s="75" t="s">
        <v>700</v>
      </c>
      <c r="C163" s="67" t="s">
        <v>146</v>
      </c>
      <c r="D163" s="68"/>
      <c r="E163" s="68"/>
      <c r="F163" s="68"/>
      <c r="G163" s="68"/>
      <c r="H163" s="68"/>
    </row>
    <row r="164" spans="1:8" ht="31.5">
      <c r="A164" s="80" t="s">
        <v>865</v>
      </c>
      <c r="B164" s="75" t="s">
        <v>701</v>
      </c>
      <c r="C164" s="67" t="s">
        <v>146</v>
      </c>
      <c r="D164" s="68"/>
      <c r="E164" s="68"/>
      <c r="F164" s="68"/>
      <c r="G164" s="68"/>
      <c r="H164" s="68"/>
    </row>
    <row r="165" spans="1:8" ht="31.5">
      <c r="A165" s="80" t="s">
        <v>866</v>
      </c>
      <c r="B165" s="75" t="s">
        <v>702</v>
      </c>
      <c r="C165" s="67" t="s">
        <v>146</v>
      </c>
      <c r="D165" s="68"/>
      <c r="E165" s="68"/>
      <c r="F165" s="68"/>
      <c r="G165" s="68"/>
      <c r="H165" s="68"/>
    </row>
    <row r="166" spans="1:8" ht="31.5">
      <c r="A166" s="80" t="s">
        <v>867</v>
      </c>
      <c r="B166" s="75" t="s">
        <v>703</v>
      </c>
      <c r="C166" s="67" t="s">
        <v>146</v>
      </c>
      <c r="D166" s="68"/>
      <c r="E166" s="68"/>
      <c r="F166" s="68"/>
      <c r="G166" s="68"/>
      <c r="H166" s="68"/>
    </row>
    <row r="167" spans="1:8" ht="31.5">
      <c r="A167" s="67">
        <v>13.2</v>
      </c>
      <c r="B167" s="75" t="s">
        <v>704</v>
      </c>
      <c r="C167" s="67" t="s">
        <v>146</v>
      </c>
      <c r="D167" s="68"/>
      <c r="E167" s="68"/>
      <c r="F167" s="68"/>
      <c r="G167" s="68"/>
      <c r="H167" s="68"/>
    </row>
    <row r="168" spans="1:8" ht="31.5">
      <c r="A168" s="67">
        <v>13.3</v>
      </c>
      <c r="B168" s="75" t="s">
        <v>705</v>
      </c>
      <c r="C168" s="67" t="s">
        <v>146</v>
      </c>
      <c r="D168" s="68"/>
      <c r="E168" s="68"/>
      <c r="F168" s="68"/>
      <c r="G168" s="68"/>
      <c r="H168" s="68"/>
    </row>
    <row r="169" spans="1:8">
      <c r="A169" s="67">
        <v>13.4</v>
      </c>
      <c r="B169" s="75" t="s">
        <v>198</v>
      </c>
      <c r="C169" s="67" t="s">
        <v>256</v>
      </c>
      <c r="D169" s="68"/>
      <c r="E169" s="68"/>
      <c r="F169" s="68"/>
      <c r="G169" s="68"/>
      <c r="H169" s="68"/>
    </row>
    <row r="170" spans="1:8" ht="47.25">
      <c r="A170" s="80" t="s">
        <v>868</v>
      </c>
      <c r="B170" s="75" t="s">
        <v>706</v>
      </c>
      <c r="C170" s="67" t="s">
        <v>146</v>
      </c>
      <c r="D170" s="68"/>
      <c r="E170" s="68"/>
      <c r="F170" s="68"/>
      <c r="G170" s="68"/>
      <c r="H170" s="68"/>
    </row>
    <row r="171" spans="1:8" ht="31.5">
      <c r="A171" s="67" t="s">
        <v>707</v>
      </c>
      <c r="B171" s="68" t="s">
        <v>708</v>
      </c>
      <c r="C171" s="67" t="s">
        <v>146</v>
      </c>
      <c r="D171" s="68"/>
      <c r="E171" s="68"/>
      <c r="F171" s="68"/>
      <c r="G171" s="68"/>
      <c r="H171" s="68"/>
    </row>
    <row r="172" spans="1:8" ht="31.5">
      <c r="A172" s="67">
        <v>14.1</v>
      </c>
      <c r="B172" s="75" t="s">
        <v>709</v>
      </c>
      <c r="C172" s="67" t="s">
        <v>146</v>
      </c>
      <c r="D172" s="68"/>
      <c r="E172" s="68"/>
      <c r="F172" s="68"/>
      <c r="G172" s="68"/>
      <c r="H172" s="68"/>
    </row>
    <row r="173" spans="1:8" ht="31.5">
      <c r="A173" s="67">
        <v>14.2</v>
      </c>
      <c r="B173" s="75" t="s">
        <v>710</v>
      </c>
      <c r="C173" s="67" t="s">
        <v>146</v>
      </c>
      <c r="D173" s="68"/>
      <c r="E173" s="68"/>
      <c r="F173" s="68"/>
      <c r="G173" s="68"/>
      <c r="H173" s="68"/>
    </row>
    <row r="174" spans="1:8" ht="31.5">
      <c r="A174" s="80" t="s">
        <v>869</v>
      </c>
      <c r="B174" s="75" t="s">
        <v>711</v>
      </c>
      <c r="C174" s="67" t="s">
        <v>146</v>
      </c>
      <c r="D174" s="68"/>
      <c r="E174" s="68"/>
      <c r="F174" s="68"/>
      <c r="G174" s="68"/>
      <c r="H174" s="68"/>
    </row>
    <row r="175" spans="1:8" ht="31.5">
      <c r="A175" s="80" t="s">
        <v>870</v>
      </c>
      <c r="B175" s="75" t="s">
        <v>712</v>
      </c>
      <c r="C175" s="67" t="s">
        <v>146</v>
      </c>
      <c r="D175" s="68"/>
      <c r="E175" s="68"/>
      <c r="F175" s="68"/>
      <c r="G175" s="68"/>
      <c r="H175" s="68"/>
    </row>
    <row r="176" spans="1:8" ht="31.5">
      <c r="A176" s="80" t="s">
        <v>871</v>
      </c>
      <c r="B176" s="75" t="s">
        <v>234</v>
      </c>
      <c r="C176" s="67" t="s">
        <v>146</v>
      </c>
      <c r="D176" s="68"/>
      <c r="E176" s="68"/>
      <c r="F176" s="68"/>
      <c r="G176" s="68"/>
      <c r="H176" s="68"/>
    </row>
    <row r="177" spans="1:8" ht="31.5">
      <c r="A177" s="67">
        <v>14.3</v>
      </c>
      <c r="B177" s="77" t="s">
        <v>713</v>
      </c>
      <c r="C177" s="67" t="s">
        <v>146</v>
      </c>
      <c r="D177" s="68"/>
      <c r="E177" s="68"/>
      <c r="F177" s="68"/>
      <c r="G177" s="68"/>
      <c r="H177" s="68"/>
    </row>
    <row r="178" spans="1:8" ht="31.5">
      <c r="A178" s="67">
        <v>14.4</v>
      </c>
      <c r="B178" s="75" t="s">
        <v>714</v>
      </c>
      <c r="C178" s="67" t="s">
        <v>146</v>
      </c>
      <c r="D178" s="68"/>
      <c r="E178" s="68"/>
      <c r="F178" s="68"/>
      <c r="G178" s="68"/>
      <c r="H178" s="68"/>
    </row>
    <row r="179" spans="1:8" ht="31.5">
      <c r="A179" s="80" t="s">
        <v>872</v>
      </c>
      <c r="B179" s="75" t="s">
        <v>715</v>
      </c>
      <c r="C179" s="67" t="s">
        <v>146</v>
      </c>
      <c r="D179" s="68"/>
      <c r="E179" s="68"/>
      <c r="F179" s="68"/>
      <c r="G179" s="68"/>
      <c r="H179" s="68"/>
    </row>
    <row r="180" spans="1:8" ht="31.5">
      <c r="A180" s="80" t="s">
        <v>873</v>
      </c>
      <c r="B180" s="75" t="s">
        <v>716</v>
      </c>
      <c r="C180" s="67" t="s">
        <v>146</v>
      </c>
      <c r="D180" s="68"/>
      <c r="E180" s="68"/>
      <c r="F180" s="68"/>
      <c r="G180" s="68"/>
      <c r="H180" s="68"/>
    </row>
    <row r="181" spans="1:8" ht="31.5">
      <c r="A181" s="67">
        <v>14.5</v>
      </c>
      <c r="B181" s="75" t="s">
        <v>717</v>
      </c>
      <c r="C181" s="67" t="s">
        <v>146</v>
      </c>
      <c r="D181" s="68"/>
      <c r="E181" s="68"/>
      <c r="F181" s="68"/>
      <c r="G181" s="68"/>
      <c r="H181" s="68"/>
    </row>
    <row r="182" spans="1:8" ht="31.5">
      <c r="A182" s="67">
        <v>14.6</v>
      </c>
      <c r="B182" s="75" t="s">
        <v>718</v>
      </c>
      <c r="C182" s="67" t="s">
        <v>146</v>
      </c>
      <c r="D182" s="68"/>
      <c r="E182" s="68"/>
      <c r="F182" s="68"/>
      <c r="G182" s="68"/>
      <c r="H182" s="68"/>
    </row>
    <row r="183" spans="1:8" ht="31.5">
      <c r="A183" s="67">
        <v>14.7</v>
      </c>
      <c r="B183" s="75" t="s">
        <v>719</v>
      </c>
      <c r="C183" s="67" t="s">
        <v>146</v>
      </c>
      <c r="D183" s="68"/>
      <c r="E183" s="68"/>
      <c r="F183" s="68"/>
      <c r="G183" s="68"/>
      <c r="H183" s="68"/>
    </row>
    <row r="184" spans="1:8" ht="31.5">
      <c r="A184" s="67" t="s">
        <v>720</v>
      </c>
      <c r="B184" s="68" t="s">
        <v>721</v>
      </c>
      <c r="C184" s="67" t="s">
        <v>146</v>
      </c>
      <c r="D184" s="68"/>
      <c r="E184" s="68"/>
      <c r="F184" s="68"/>
      <c r="G184" s="68"/>
      <c r="H184" s="68"/>
    </row>
    <row r="185" spans="1:8" ht="31.5">
      <c r="A185" s="67">
        <v>15.1</v>
      </c>
      <c r="B185" s="75" t="s">
        <v>722</v>
      </c>
      <c r="C185" s="67" t="s">
        <v>146</v>
      </c>
      <c r="D185" s="68"/>
      <c r="E185" s="68"/>
      <c r="F185" s="68"/>
      <c r="G185" s="68"/>
      <c r="H185" s="68"/>
    </row>
    <row r="186" spans="1:8" ht="31.5">
      <c r="A186" s="80" t="s">
        <v>874</v>
      </c>
      <c r="B186" s="75" t="s">
        <v>711</v>
      </c>
      <c r="C186" s="67" t="s">
        <v>146</v>
      </c>
      <c r="D186" s="68"/>
      <c r="E186" s="68"/>
      <c r="F186" s="68"/>
      <c r="G186" s="68"/>
      <c r="H186" s="68"/>
    </row>
    <row r="187" spans="1:8" ht="31.5">
      <c r="A187" s="80" t="s">
        <v>875</v>
      </c>
      <c r="B187" s="75" t="s">
        <v>712</v>
      </c>
      <c r="C187" s="67" t="s">
        <v>146</v>
      </c>
      <c r="D187" s="68"/>
      <c r="E187" s="68"/>
      <c r="F187" s="68"/>
      <c r="G187" s="68"/>
      <c r="H187" s="68"/>
    </row>
    <row r="188" spans="1:8" ht="31.5">
      <c r="A188" s="67">
        <v>8.1</v>
      </c>
      <c r="B188" s="75" t="s">
        <v>654</v>
      </c>
      <c r="C188" s="67" t="s">
        <v>146</v>
      </c>
      <c r="D188" s="68"/>
      <c r="E188" s="68"/>
      <c r="F188" s="68"/>
      <c r="G188" s="68"/>
      <c r="H188" s="68"/>
    </row>
    <row r="189" spans="1:8" ht="31.5">
      <c r="A189" s="67">
        <v>8.1999999999999993</v>
      </c>
      <c r="B189" s="75" t="s">
        <v>655</v>
      </c>
      <c r="C189" s="67" t="s">
        <v>146</v>
      </c>
      <c r="D189" s="68"/>
      <c r="E189" s="68"/>
      <c r="F189" s="68"/>
      <c r="G189" s="68"/>
      <c r="H189" s="68"/>
    </row>
    <row r="190" spans="1:8" ht="31.5">
      <c r="A190" s="67">
        <v>8.3000000000000007</v>
      </c>
      <c r="B190" s="75" t="s">
        <v>235</v>
      </c>
      <c r="C190" s="67" t="s">
        <v>146</v>
      </c>
      <c r="D190" s="68"/>
      <c r="E190" s="68"/>
      <c r="F190" s="68"/>
      <c r="G190" s="68"/>
      <c r="H190" s="68"/>
    </row>
    <row r="191" spans="1:8" ht="31.5">
      <c r="A191" s="67">
        <v>8.4</v>
      </c>
      <c r="B191" s="75" t="s">
        <v>656</v>
      </c>
      <c r="C191" s="67" t="s">
        <v>146</v>
      </c>
      <c r="D191" s="68"/>
      <c r="E191" s="68"/>
      <c r="F191" s="68"/>
      <c r="G191" s="68"/>
      <c r="H191" s="68"/>
    </row>
    <row r="192" spans="1:8">
      <c r="A192" s="67" t="s">
        <v>657</v>
      </c>
      <c r="B192" s="68" t="s">
        <v>198</v>
      </c>
      <c r="C192" s="67" t="s">
        <v>256</v>
      </c>
      <c r="D192" s="68"/>
      <c r="E192" s="68"/>
      <c r="F192" s="68"/>
      <c r="G192" s="68"/>
      <c r="H192" s="68"/>
    </row>
    <row r="193" spans="1:8" ht="47.25">
      <c r="A193" s="67">
        <v>9.1</v>
      </c>
      <c r="B193" s="75" t="s">
        <v>658</v>
      </c>
      <c r="C193" s="67" t="s">
        <v>146</v>
      </c>
      <c r="D193" s="68"/>
      <c r="E193" s="68"/>
      <c r="F193" s="68"/>
      <c r="G193" s="68"/>
      <c r="H193" s="68"/>
    </row>
    <row r="194" spans="1:8" ht="31.5">
      <c r="A194" s="67">
        <v>9.1999999999999993</v>
      </c>
      <c r="B194" s="75" t="s">
        <v>659</v>
      </c>
      <c r="C194" s="67" t="s">
        <v>146</v>
      </c>
      <c r="D194" s="68"/>
      <c r="E194" s="68"/>
      <c r="F194" s="68"/>
      <c r="G194" s="68"/>
      <c r="H194" s="68"/>
    </row>
    <row r="195" spans="1:8" ht="31.5">
      <c r="A195" s="80" t="s">
        <v>848</v>
      </c>
      <c r="B195" s="75" t="s">
        <v>660</v>
      </c>
      <c r="C195" s="67" t="s">
        <v>146</v>
      </c>
      <c r="D195" s="68"/>
      <c r="E195" s="68"/>
      <c r="F195" s="68"/>
      <c r="G195" s="68"/>
      <c r="H195" s="68"/>
    </row>
    <row r="196" spans="1:8" ht="31.5">
      <c r="A196" s="67">
        <v>9.3000000000000007</v>
      </c>
      <c r="B196" s="75" t="s">
        <v>661</v>
      </c>
      <c r="C196" s="67" t="s">
        <v>146</v>
      </c>
      <c r="D196" s="68"/>
      <c r="E196" s="68"/>
      <c r="F196" s="68"/>
      <c r="G196" s="68"/>
      <c r="H196" s="68"/>
    </row>
    <row r="197" spans="1:8" ht="31.5">
      <c r="A197" s="80" t="s">
        <v>849</v>
      </c>
      <c r="B197" s="75" t="s">
        <v>662</v>
      </c>
      <c r="C197" s="67" t="s">
        <v>146</v>
      </c>
      <c r="D197" s="68"/>
      <c r="E197" s="68"/>
      <c r="F197" s="68"/>
      <c r="G197" s="68"/>
      <c r="H197" s="68"/>
    </row>
    <row r="198" spans="1:8" ht="63">
      <c r="A198" s="67">
        <v>9.4</v>
      </c>
      <c r="B198" s="75" t="s">
        <v>663</v>
      </c>
      <c r="C198" s="67" t="s">
        <v>256</v>
      </c>
      <c r="D198" s="68"/>
      <c r="E198" s="68"/>
      <c r="F198" s="68"/>
      <c r="G198" s="68"/>
      <c r="H198" s="68"/>
    </row>
    <row r="199" spans="1:8">
      <c r="A199" s="751" t="s">
        <v>664</v>
      </c>
      <c r="B199" s="751"/>
      <c r="C199" s="751"/>
      <c r="D199" s="751"/>
      <c r="E199" s="751"/>
      <c r="F199" s="751"/>
      <c r="G199" s="751"/>
      <c r="H199" s="751"/>
    </row>
    <row r="200" spans="1:8" ht="31.5">
      <c r="A200" s="67" t="s">
        <v>330</v>
      </c>
      <c r="B200" s="68" t="s">
        <v>665</v>
      </c>
      <c r="C200" s="67" t="s">
        <v>146</v>
      </c>
      <c r="D200" s="68"/>
      <c r="E200" s="68"/>
      <c r="F200" s="68"/>
      <c r="G200" s="68"/>
      <c r="H200" s="68"/>
    </row>
    <row r="201" spans="1:8" ht="31.5">
      <c r="A201" s="67">
        <v>10.1</v>
      </c>
      <c r="B201" s="75" t="s">
        <v>147</v>
      </c>
      <c r="C201" s="67" t="s">
        <v>146</v>
      </c>
      <c r="D201" s="68"/>
      <c r="E201" s="68"/>
      <c r="F201" s="68"/>
      <c r="G201" s="68"/>
      <c r="H201" s="68"/>
    </row>
    <row r="202" spans="1:8" ht="47.25">
      <c r="A202" s="80" t="s">
        <v>850</v>
      </c>
      <c r="B202" s="75" t="s">
        <v>148</v>
      </c>
      <c r="C202" s="67" t="s">
        <v>146</v>
      </c>
      <c r="D202" s="68"/>
      <c r="E202" s="68"/>
      <c r="F202" s="68"/>
      <c r="G202" s="68"/>
      <c r="H202" s="68"/>
    </row>
    <row r="203" spans="1:8" ht="47.25">
      <c r="A203" s="80" t="s">
        <v>851</v>
      </c>
      <c r="B203" s="75" t="s">
        <v>149</v>
      </c>
      <c r="C203" s="67" t="s">
        <v>146</v>
      </c>
      <c r="D203" s="68"/>
      <c r="E203" s="68"/>
      <c r="F203" s="68"/>
      <c r="G203" s="68"/>
      <c r="H203" s="68"/>
    </row>
    <row r="204" spans="1:8" ht="47.25">
      <c r="A204" s="80" t="s">
        <v>852</v>
      </c>
      <c r="B204" s="75" t="s">
        <v>150</v>
      </c>
      <c r="C204" s="67" t="s">
        <v>146</v>
      </c>
      <c r="D204" s="68"/>
      <c r="E204" s="68"/>
      <c r="F204" s="68"/>
      <c r="G204" s="68"/>
      <c r="H204" s="68"/>
    </row>
    <row r="205" spans="1:8" ht="31.5">
      <c r="A205" s="67">
        <v>10.199999999999999</v>
      </c>
      <c r="B205" s="75" t="s">
        <v>151</v>
      </c>
      <c r="C205" s="67" t="s">
        <v>146</v>
      </c>
      <c r="D205" s="68"/>
      <c r="E205" s="68"/>
      <c r="F205" s="68"/>
      <c r="G205" s="68"/>
      <c r="H205" s="68"/>
    </row>
    <row r="206" spans="1:8" ht="31.5">
      <c r="A206" s="67">
        <v>10.3</v>
      </c>
      <c r="B206" s="75" t="s">
        <v>152</v>
      </c>
      <c r="C206" s="67" t="s">
        <v>146</v>
      </c>
      <c r="D206" s="68"/>
      <c r="E206" s="68"/>
      <c r="F206" s="68"/>
      <c r="G206" s="68"/>
      <c r="H206" s="68"/>
    </row>
    <row r="207" spans="1:8" ht="31.5">
      <c r="A207" s="67">
        <v>10.4</v>
      </c>
      <c r="B207" s="75" t="s">
        <v>153</v>
      </c>
      <c r="C207" s="67" t="s">
        <v>146</v>
      </c>
      <c r="D207" s="68"/>
      <c r="E207" s="68"/>
      <c r="F207" s="68"/>
      <c r="G207" s="68"/>
      <c r="H207" s="68"/>
    </row>
    <row r="208" spans="1:8" ht="31.5">
      <c r="A208" s="67">
        <v>10.5</v>
      </c>
      <c r="B208" s="75" t="s">
        <v>154</v>
      </c>
      <c r="C208" s="67" t="s">
        <v>146</v>
      </c>
      <c r="D208" s="68"/>
      <c r="E208" s="68"/>
      <c r="F208" s="68"/>
      <c r="G208" s="68"/>
      <c r="H208" s="68"/>
    </row>
    <row r="209" spans="1:8" ht="31.5">
      <c r="A209" s="67">
        <v>10.6</v>
      </c>
      <c r="B209" s="75" t="s">
        <v>155</v>
      </c>
      <c r="C209" s="67" t="s">
        <v>146</v>
      </c>
      <c r="D209" s="68"/>
      <c r="E209" s="68"/>
      <c r="F209" s="68"/>
      <c r="G209" s="68"/>
      <c r="H209" s="68"/>
    </row>
    <row r="210" spans="1:8" ht="31.5">
      <c r="A210" s="67">
        <v>10.7</v>
      </c>
      <c r="B210" s="75" t="s">
        <v>156</v>
      </c>
      <c r="C210" s="67" t="s">
        <v>146</v>
      </c>
      <c r="D210" s="68"/>
      <c r="E210" s="68"/>
      <c r="F210" s="68"/>
      <c r="G210" s="68"/>
      <c r="H210" s="68"/>
    </row>
    <row r="211" spans="1:8" ht="47.25">
      <c r="A211" s="67">
        <v>10.8</v>
      </c>
      <c r="B211" s="75" t="s">
        <v>157</v>
      </c>
      <c r="C211" s="67" t="s">
        <v>146</v>
      </c>
      <c r="D211" s="68"/>
      <c r="E211" s="68"/>
      <c r="F211" s="68"/>
      <c r="G211" s="68"/>
      <c r="H211" s="68"/>
    </row>
    <row r="212" spans="1:8" ht="31.5">
      <c r="A212" s="80" t="s">
        <v>853</v>
      </c>
      <c r="B212" s="75" t="s">
        <v>158</v>
      </c>
      <c r="C212" s="67" t="s">
        <v>146</v>
      </c>
      <c r="D212" s="68"/>
      <c r="E212" s="68"/>
      <c r="F212" s="68"/>
      <c r="G212" s="68"/>
      <c r="H212" s="68"/>
    </row>
    <row r="213" spans="1:8" ht="31.5">
      <c r="A213" s="80" t="s">
        <v>854</v>
      </c>
      <c r="B213" s="75" t="s">
        <v>159</v>
      </c>
      <c r="C213" s="67" t="s">
        <v>146</v>
      </c>
      <c r="D213" s="68"/>
      <c r="E213" s="68"/>
      <c r="F213" s="68"/>
      <c r="G213" s="68"/>
      <c r="H213" s="68"/>
    </row>
    <row r="214" spans="1:8" ht="63">
      <c r="A214" s="67">
        <v>10.9</v>
      </c>
      <c r="B214" s="75" t="s">
        <v>666</v>
      </c>
      <c r="C214" s="67" t="s">
        <v>146</v>
      </c>
      <c r="D214" s="68"/>
      <c r="E214" s="68"/>
      <c r="F214" s="68"/>
      <c r="G214" s="68"/>
      <c r="H214" s="68"/>
    </row>
    <row r="215" spans="1:8" ht="31.5">
      <c r="A215" s="80" t="s">
        <v>855</v>
      </c>
      <c r="B215" s="75" t="s">
        <v>667</v>
      </c>
      <c r="C215" s="67" t="s">
        <v>146</v>
      </c>
      <c r="D215" s="68"/>
      <c r="E215" s="68"/>
      <c r="F215" s="68"/>
      <c r="G215" s="68"/>
      <c r="H215" s="68"/>
    </row>
    <row r="216" spans="1:8" ht="31.5">
      <c r="A216" s="80" t="s">
        <v>856</v>
      </c>
      <c r="B216" s="75" t="s">
        <v>668</v>
      </c>
      <c r="C216" s="67" t="s">
        <v>146</v>
      </c>
      <c r="D216" s="68"/>
      <c r="E216" s="68"/>
      <c r="F216" s="68"/>
      <c r="G216" s="68"/>
      <c r="H216" s="68"/>
    </row>
    <row r="217" spans="1:8" ht="31.5">
      <c r="A217" s="67">
        <v>10.1</v>
      </c>
      <c r="B217" s="75" t="s">
        <v>160</v>
      </c>
      <c r="C217" s="67" t="s">
        <v>146</v>
      </c>
      <c r="D217" s="68"/>
      <c r="E217" s="68"/>
      <c r="F217" s="68"/>
      <c r="G217" s="68"/>
      <c r="H217" s="68"/>
    </row>
    <row r="218" spans="1:8" ht="31.5">
      <c r="A218" s="67" t="s">
        <v>669</v>
      </c>
      <c r="B218" s="68" t="s">
        <v>670</v>
      </c>
      <c r="C218" s="67" t="s">
        <v>146</v>
      </c>
      <c r="D218" s="68"/>
      <c r="E218" s="68"/>
      <c r="F218" s="68"/>
      <c r="G218" s="68"/>
      <c r="H218" s="68"/>
    </row>
    <row r="219" spans="1:8" ht="31.5">
      <c r="A219" s="67">
        <v>11.1</v>
      </c>
      <c r="B219" s="75" t="s">
        <v>671</v>
      </c>
      <c r="C219" s="67" t="s">
        <v>146</v>
      </c>
      <c r="D219" s="68"/>
      <c r="E219" s="68"/>
      <c r="F219" s="68"/>
      <c r="G219" s="68"/>
      <c r="H219" s="68"/>
    </row>
    <row r="220" spans="1:8" ht="31.5">
      <c r="A220" s="67">
        <v>11.2</v>
      </c>
      <c r="B220" s="75" t="s">
        <v>672</v>
      </c>
      <c r="C220" s="67" t="s">
        <v>146</v>
      </c>
      <c r="D220" s="68"/>
      <c r="E220" s="68"/>
      <c r="F220" s="68"/>
      <c r="G220" s="68"/>
      <c r="H220" s="68"/>
    </row>
    <row r="221" spans="1:8" ht="31.5">
      <c r="A221" s="80" t="s">
        <v>857</v>
      </c>
      <c r="B221" s="75" t="s">
        <v>292</v>
      </c>
      <c r="C221" s="67" t="s">
        <v>146</v>
      </c>
      <c r="D221" s="68"/>
      <c r="E221" s="68"/>
      <c r="F221" s="68"/>
      <c r="G221" s="68"/>
      <c r="H221" s="68"/>
    </row>
    <row r="222" spans="1:8" ht="31.5">
      <c r="A222" s="80" t="s">
        <v>858</v>
      </c>
      <c r="B222" s="75" t="s">
        <v>673</v>
      </c>
      <c r="C222" s="67" t="s">
        <v>146</v>
      </c>
      <c r="D222" s="68"/>
      <c r="E222" s="68"/>
      <c r="F222" s="68"/>
      <c r="G222" s="68"/>
      <c r="H222" s="68"/>
    </row>
    <row r="223" spans="1:8" ht="31.5">
      <c r="A223" s="80" t="s">
        <v>859</v>
      </c>
      <c r="B223" s="75" t="s">
        <v>674</v>
      </c>
      <c r="C223" s="67" t="s">
        <v>146</v>
      </c>
      <c r="D223" s="68"/>
      <c r="E223" s="68"/>
      <c r="F223" s="68"/>
      <c r="G223" s="68"/>
      <c r="H223" s="68"/>
    </row>
    <row r="224" spans="1:8" ht="47.25">
      <c r="A224" s="67">
        <v>11.3</v>
      </c>
      <c r="B224" s="75" t="s">
        <v>675</v>
      </c>
      <c r="C224" s="67" t="s">
        <v>146</v>
      </c>
      <c r="D224" s="68"/>
      <c r="E224" s="68"/>
      <c r="F224" s="68"/>
      <c r="G224" s="68"/>
      <c r="H224" s="68"/>
    </row>
    <row r="225" spans="1:8" ht="47.25">
      <c r="A225" s="67">
        <v>11.4</v>
      </c>
      <c r="B225" s="75" t="s">
        <v>676</v>
      </c>
      <c r="C225" s="67" t="s">
        <v>146</v>
      </c>
      <c r="D225" s="68"/>
      <c r="E225" s="68"/>
      <c r="F225" s="68"/>
      <c r="G225" s="68"/>
      <c r="H225" s="68"/>
    </row>
    <row r="226" spans="1:8" ht="31.5">
      <c r="A226" s="67">
        <v>11.5</v>
      </c>
      <c r="B226" s="75" t="s">
        <v>677</v>
      </c>
      <c r="C226" s="67" t="s">
        <v>146</v>
      </c>
      <c r="D226" s="68"/>
      <c r="E226" s="68"/>
      <c r="F226" s="68"/>
      <c r="G226" s="68"/>
      <c r="H226" s="68"/>
    </row>
    <row r="227" spans="1:8" ht="31.5">
      <c r="A227" s="67">
        <v>11.6</v>
      </c>
      <c r="B227" s="75" t="s">
        <v>678</v>
      </c>
      <c r="C227" s="67" t="s">
        <v>146</v>
      </c>
      <c r="D227" s="68"/>
      <c r="E227" s="68"/>
      <c r="F227" s="68"/>
      <c r="G227" s="68"/>
      <c r="H227" s="68"/>
    </row>
    <row r="228" spans="1:8" ht="31.5">
      <c r="A228" s="67">
        <v>11.7</v>
      </c>
      <c r="B228" s="75" t="s">
        <v>679</v>
      </c>
      <c r="C228" s="67" t="s">
        <v>146</v>
      </c>
      <c r="D228" s="68"/>
      <c r="E228" s="68"/>
      <c r="F228" s="68"/>
      <c r="G228" s="68"/>
      <c r="H228" s="68"/>
    </row>
    <row r="229" spans="1:8" ht="31.5">
      <c r="A229" s="67">
        <v>11.8</v>
      </c>
      <c r="B229" s="75" t="s">
        <v>680</v>
      </c>
      <c r="C229" s="67" t="s">
        <v>146</v>
      </c>
      <c r="D229" s="68"/>
      <c r="E229" s="68"/>
      <c r="F229" s="68"/>
      <c r="G229" s="68"/>
      <c r="H229" s="68"/>
    </row>
    <row r="230" spans="1:8" ht="31.5">
      <c r="A230" s="80" t="s">
        <v>860</v>
      </c>
      <c r="B230" s="75" t="s">
        <v>681</v>
      </c>
      <c r="C230" s="67" t="s">
        <v>146</v>
      </c>
      <c r="D230" s="68"/>
      <c r="E230" s="68"/>
      <c r="F230" s="68"/>
      <c r="G230" s="68"/>
      <c r="H230" s="68"/>
    </row>
    <row r="231" spans="1:8" ht="31.5">
      <c r="A231" s="67">
        <v>11.9</v>
      </c>
      <c r="B231" s="75" t="s">
        <v>682</v>
      </c>
      <c r="C231" s="67" t="s">
        <v>146</v>
      </c>
      <c r="D231" s="68"/>
      <c r="E231" s="68"/>
      <c r="F231" s="68"/>
      <c r="G231" s="68"/>
      <c r="H231" s="68"/>
    </row>
    <row r="232" spans="1:8" ht="31.5">
      <c r="A232" s="67">
        <v>11.1</v>
      </c>
      <c r="B232" s="75" t="s">
        <v>683</v>
      </c>
      <c r="C232" s="67" t="s">
        <v>146</v>
      </c>
      <c r="D232" s="68"/>
      <c r="E232" s="68"/>
      <c r="F232" s="68"/>
      <c r="G232" s="68"/>
      <c r="H232" s="68"/>
    </row>
    <row r="233" spans="1:8" ht="31.5">
      <c r="A233" s="67">
        <v>11.11</v>
      </c>
      <c r="B233" s="75" t="s">
        <v>684</v>
      </c>
      <c r="C233" s="67" t="s">
        <v>146</v>
      </c>
      <c r="D233" s="68"/>
      <c r="E233" s="68"/>
      <c r="F233" s="68"/>
      <c r="G233" s="68"/>
      <c r="H233" s="68"/>
    </row>
    <row r="234" spans="1:8" ht="63">
      <c r="A234" s="67">
        <v>11.12</v>
      </c>
      <c r="B234" s="75" t="s">
        <v>685</v>
      </c>
      <c r="C234" s="67" t="s">
        <v>146</v>
      </c>
      <c r="D234" s="68"/>
      <c r="E234" s="68"/>
      <c r="F234" s="68"/>
      <c r="G234" s="68"/>
      <c r="H234" s="68"/>
    </row>
    <row r="235" spans="1:8" ht="31.5">
      <c r="A235" s="67">
        <v>11.13</v>
      </c>
      <c r="B235" s="75" t="s">
        <v>686</v>
      </c>
      <c r="C235" s="67" t="s">
        <v>146</v>
      </c>
      <c r="D235" s="68"/>
      <c r="E235" s="68"/>
      <c r="F235" s="68"/>
      <c r="G235" s="68"/>
      <c r="H235" s="68"/>
    </row>
    <row r="236" spans="1:8" ht="31.5">
      <c r="A236" s="67" t="s">
        <v>687</v>
      </c>
      <c r="B236" s="68" t="s">
        <v>688</v>
      </c>
      <c r="C236" s="67" t="s">
        <v>146</v>
      </c>
      <c r="D236" s="68"/>
      <c r="E236" s="68"/>
      <c r="F236" s="68"/>
      <c r="G236" s="68"/>
      <c r="H236" s="68"/>
    </row>
    <row r="237" spans="1:8" ht="31.5">
      <c r="A237" s="67">
        <v>12.1</v>
      </c>
      <c r="B237" s="75" t="s">
        <v>689</v>
      </c>
      <c r="C237" s="67" t="s">
        <v>146</v>
      </c>
      <c r="D237" s="68"/>
      <c r="E237" s="68"/>
      <c r="F237" s="68"/>
      <c r="G237" s="68"/>
      <c r="H237" s="68"/>
    </row>
    <row r="238" spans="1:8" ht="47.25">
      <c r="A238" s="67">
        <v>12.2</v>
      </c>
      <c r="B238" s="75" t="s">
        <v>690</v>
      </c>
      <c r="C238" s="67" t="s">
        <v>146</v>
      </c>
      <c r="D238" s="68"/>
      <c r="E238" s="68"/>
      <c r="F238" s="68"/>
      <c r="G238" s="68"/>
      <c r="H238" s="68"/>
    </row>
    <row r="239" spans="1:8" ht="47.25">
      <c r="A239" s="80" t="s">
        <v>861</v>
      </c>
      <c r="B239" s="75" t="s">
        <v>691</v>
      </c>
      <c r="C239" s="67" t="s">
        <v>146</v>
      </c>
      <c r="D239" s="68"/>
      <c r="E239" s="68"/>
      <c r="F239" s="68"/>
      <c r="G239" s="68"/>
      <c r="H239" s="68"/>
    </row>
    <row r="240" spans="1:8" ht="31.5">
      <c r="A240" s="67" t="s">
        <v>692</v>
      </c>
      <c r="B240" s="75" t="s">
        <v>458</v>
      </c>
      <c r="C240" s="67" t="s">
        <v>146</v>
      </c>
      <c r="D240" s="68"/>
      <c r="E240" s="68"/>
      <c r="F240" s="68"/>
      <c r="G240" s="68"/>
      <c r="H240" s="68"/>
    </row>
    <row r="241" spans="1:8" ht="31.5">
      <c r="A241" s="67" t="s">
        <v>693</v>
      </c>
      <c r="B241" s="75" t="s">
        <v>461</v>
      </c>
      <c r="C241" s="67" t="s">
        <v>146</v>
      </c>
      <c r="D241" s="68"/>
      <c r="E241" s="68"/>
      <c r="F241" s="68"/>
      <c r="G241" s="68"/>
      <c r="H241" s="68"/>
    </row>
    <row r="242" spans="1:8" ht="31.5">
      <c r="A242" s="67">
        <v>12.3</v>
      </c>
      <c r="B242" s="75" t="s">
        <v>694</v>
      </c>
      <c r="C242" s="67" t="s">
        <v>146</v>
      </c>
      <c r="D242" s="68"/>
      <c r="E242" s="68"/>
      <c r="F242" s="68"/>
      <c r="G242" s="68"/>
      <c r="H242" s="68"/>
    </row>
    <row r="243" spans="1:8" ht="31.5">
      <c r="A243" s="67" t="s">
        <v>695</v>
      </c>
      <c r="B243" s="68" t="s">
        <v>696</v>
      </c>
      <c r="C243" s="67" t="s">
        <v>146</v>
      </c>
      <c r="D243" s="68"/>
      <c r="E243" s="68"/>
      <c r="F243" s="68"/>
      <c r="G243" s="68"/>
      <c r="H243" s="68"/>
    </row>
    <row r="244" spans="1:8" ht="31.5">
      <c r="A244" s="67">
        <v>13.1</v>
      </c>
      <c r="B244" s="75" t="s">
        <v>697</v>
      </c>
      <c r="C244" s="67" t="s">
        <v>146</v>
      </c>
      <c r="D244" s="68"/>
      <c r="E244" s="68"/>
      <c r="F244" s="68"/>
      <c r="G244" s="68"/>
      <c r="H244" s="68"/>
    </row>
    <row r="245" spans="1:8" ht="31.5">
      <c r="A245" s="80" t="s">
        <v>862</v>
      </c>
      <c r="B245" s="75" t="s">
        <v>698</v>
      </c>
      <c r="C245" s="67" t="s">
        <v>146</v>
      </c>
      <c r="D245" s="68"/>
      <c r="E245" s="68"/>
      <c r="F245" s="68"/>
      <c r="G245" s="68"/>
      <c r="H245" s="68"/>
    </row>
    <row r="246" spans="1:8" ht="31.5">
      <c r="A246" s="80" t="s">
        <v>863</v>
      </c>
      <c r="B246" s="75" t="s">
        <v>699</v>
      </c>
      <c r="C246" s="67" t="s">
        <v>146</v>
      </c>
      <c r="D246" s="68"/>
      <c r="E246" s="68"/>
      <c r="F246" s="68"/>
      <c r="G246" s="68"/>
      <c r="H246" s="68"/>
    </row>
    <row r="247" spans="1:8" ht="47.25">
      <c r="A247" s="80" t="s">
        <v>864</v>
      </c>
      <c r="B247" s="75" t="s">
        <v>700</v>
      </c>
      <c r="C247" s="67" t="s">
        <v>146</v>
      </c>
      <c r="D247" s="68"/>
      <c r="E247" s="68"/>
      <c r="F247" s="68"/>
      <c r="G247" s="68"/>
      <c r="H247" s="68"/>
    </row>
    <row r="248" spans="1:8" ht="31.5">
      <c r="A248" s="80" t="s">
        <v>865</v>
      </c>
      <c r="B248" s="75" t="s">
        <v>701</v>
      </c>
      <c r="C248" s="67" t="s">
        <v>146</v>
      </c>
      <c r="D248" s="68"/>
      <c r="E248" s="68"/>
      <c r="F248" s="68"/>
      <c r="G248" s="68"/>
      <c r="H248" s="68"/>
    </row>
    <row r="249" spans="1:8" ht="31.5">
      <c r="A249" s="80" t="s">
        <v>866</v>
      </c>
      <c r="B249" s="75" t="s">
        <v>702</v>
      </c>
      <c r="C249" s="67" t="s">
        <v>146</v>
      </c>
      <c r="D249" s="68"/>
      <c r="E249" s="68"/>
      <c r="F249" s="68"/>
      <c r="G249" s="68"/>
      <c r="H249" s="68"/>
    </row>
    <row r="250" spans="1:8" ht="31.5">
      <c r="A250" s="80" t="s">
        <v>867</v>
      </c>
      <c r="B250" s="75" t="s">
        <v>703</v>
      </c>
      <c r="C250" s="67" t="s">
        <v>146</v>
      </c>
      <c r="D250" s="68"/>
      <c r="E250" s="68"/>
      <c r="F250" s="68"/>
      <c r="G250" s="68"/>
      <c r="H250" s="68"/>
    </row>
    <row r="251" spans="1:8" ht="31.5">
      <c r="A251" s="67">
        <v>13.2</v>
      </c>
      <c r="B251" s="75" t="s">
        <v>704</v>
      </c>
      <c r="C251" s="67" t="s">
        <v>146</v>
      </c>
      <c r="D251" s="68"/>
      <c r="E251" s="68"/>
      <c r="F251" s="68"/>
      <c r="G251" s="68"/>
      <c r="H251" s="68"/>
    </row>
    <row r="252" spans="1:8" ht="31.5">
      <c r="A252" s="67">
        <v>13.3</v>
      </c>
      <c r="B252" s="75" t="s">
        <v>705</v>
      </c>
      <c r="C252" s="67" t="s">
        <v>146</v>
      </c>
      <c r="D252" s="68"/>
      <c r="E252" s="68"/>
      <c r="F252" s="68"/>
      <c r="G252" s="68"/>
      <c r="H252" s="68"/>
    </row>
    <row r="253" spans="1:8">
      <c r="A253" s="67">
        <v>13.4</v>
      </c>
      <c r="B253" s="75" t="s">
        <v>198</v>
      </c>
      <c r="C253" s="67" t="s">
        <v>256</v>
      </c>
      <c r="D253" s="68"/>
      <c r="E253" s="68"/>
      <c r="F253" s="68"/>
      <c r="G253" s="68"/>
      <c r="H253" s="68"/>
    </row>
    <row r="254" spans="1:8" ht="47.25">
      <c r="A254" s="80" t="s">
        <v>868</v>
      </c>
      <c r="B254" s="75" t="s">
        <v>706</v>
      </c>
      <c r="C254" s="67" t="s">
        <v>146</v>
      </c>
      <c r="D254" s="68"/>
      <c r="E254" s="68"/>
      <c r="F254" s="68"/>
      <c r="G254" s="68"/>
      <c r="H254" s="68"/>
    </row>
    <row r="255" spans="1:8" ht="31.5">
      <c r="A255" s="67" t="s">
        <v>707</v>
      </c>
      <c r="B255" s="68" t="s">
        <v>708</v>
      </c>
      <c r="C255" s="67" t="s">
        <v>146</v>
      </c>
      <c r="D255" s="68"/>
      <c r="E255" s="68"/>
      <c r="F255" s="68"/>
      <c r="G255" s="68"/>
      <c r="H255" s="68"/>
    </row>
    <row r="256" spans="1:8" ht="31.5">
      <c r="A256" s="67">
        <v>14.1</v>
      </c>
      <c r="B256" s="75" t="s">
        <v>709</v>
      </c>
      <c r="C256" s="67" t="s">
        <v>146</v>
      </c>
      <c r="D256" s="68"/>
      <c r="E256" s="68"/>
      <c r="F256" s="68"/>
      <c r="G256" s="68"/>
      <c r="H256" s="68"/>
    </row>
    <row r="257" spans="1:8" ht="31.5">
      <c r="A257" s="67">
        <v>14.2</v>
      </c>
      <c r="B257" s="75" t="s">
        <v>710</v>
      </c>
      <c r="C257" s="67" t="s">
        <v>146</v>
      </c>
      <c r="D257" s="68"/>
      <c r="E257" s="68"/>
      <c r="F257" s="68"/>
      <c r="G257" s="68"/>
      <c r="H257" s="68"/>
    </row>
    <row r="258" spans="1:8" ht="31.5">
      <c r="A258" s="80" t="s">
        <v>869</v>
      </c>
      <c r="B258" s="75" t="s">
        <v>711</v>
      </c>
      <c r="C258" s="67" t="s">
        <v>146</v>
      </c>
      <c r="D258" s="68"/>
      <c r="E258" s="68"/>
      <c r="F258" s="68"/>
      <c r="G258" s="68"/>
      <c r="H258" s="68"/>
    </row>
    <row r="259" spans="1:8" ht="31.5">
      <c r="A259" s="80" t="s">
        <v>870</v>
      </c>
      <c r="B259" s="75" t="s">
        <v>712</v>
      </c>
      <c r="C259" s="67" t="s">
        <v>146</v>
      </c>
      <c r="D259" s="68"/>
      <c r="E259" s="68"/>
      <c r="F259" s="68"/>
      <c r="G259" s="68"/>
      <c r="H259" s="68"/>
    </row>
    <row r="260" spans="1:8" ht="31.5">
      <c r="A260" s="80" t="s">
        <v>871</v>
      </c>
      <c r="B260" s="75" t="s">
        <v>234</v>
      </c>
      <c r="C260" s="67" t="s">
        <v>146</v>
      </c>
      <c r="D260" s="68"/>
      <c r="E260" s="68"/>
      <c r="F260" s="68"/>
      <c r="G260" s="68"/>
      <c r="H260" s="68"/>
    </row>
    <row r="261" spans="1:8" ht="31.5">
      <c r="A261" s="67">
        <v>14.3</v>
      </c>
      <c r="B261" s="77" t="s">
        <v>713</v>
      </c>
      <c r="C261" s="67" t="s">
        <v>146</v>
      </c>
      <c r="D261" s="68"/>
      <c r="E261" s="68"/>
      <c r="F261" s="68"/>
      <c r="G261" s="68"/>
      <c r="H261" s="68"/>
    </row>
    <row r="262" spans="1:8" ht="31.5">
      <c r="A262" s="67">
        <v>14.4</v>
      </c>
      <c r="B262" s="75" t="s">
        <v>714</v>
      </c>
      <c r="C262" s="67" t="s">
        <v>146</v>
      </c>
      <c r="D262" s="68"/>
      <c r="E262" s="68"/>
      <c r="F262" s="68"/>
      <c r="G262" s="68"/>
      <c r="H262" s="68"/>
    </row>
    <row r="263" spans="1:8" ht="31.5">
      <c r="A263" s="80" t="s">
        <v>872</v>
      </c>
      <c r="B263" s="75" t="s">
        <v>715</v>
      </c>
      <c r="C263" s="67" t="s">
        <v>146</v>
      </c>
      <c r="D263" s="68"/>
      <c r="E263" s="68"/>
      <c r="F263" s="68"/>
      <c r="G263" s="68"/>
      <c r="H263" s="68"/>
    </row>
    <row r="264" spans="1:8" ht="31.5">
      <c r="A264" s="80" t="s">
        <v>873</v>
      </c>
      <c r="B264" s="75" t="s">
        <v>716</v>
      </c>
      <c r="C264" s="67" t="s">
        <v>146</v>
      </c>
      <c r="D264" s="68"/>
      <c r="E264" s="68"/>
      <c r="F264" s="68"/>
      <c r="G264" s="68"/>
      <c r="H264" s="68"/>
    </row>
    <row r="265" spans="1:8" ht="31.5">
      <c r="A265" s="67">
        <v>14.5</v>
      </c>
      <c r="B265" s="75" t="s">
        <v>717</v>
      </c>
      <c r="C265" s="67" t="s">
        <v>146</v>
      </c>
      <c r="D265" s="68"/>
      <c r="E265" s="68"/>
      <c r="F265" s="68"/>
      <c r="G265" s="68"/>
      <c r="H265" s="68"/>
    </row>
    <row r="266" spans="1:8" ht="31.5">
      <c r="A266" s="67">
        <v>14.6</v>
      </c>
      <c r="B266" s="75" t="s">
        <v>718</v>
      </c>
      <c r="C266" s="67" t="s">
        <v>146</v>
      </c>
      <c r="D266" s="68"/>
      <c r="E266" s="68"/>
      <c r="F266" s="68"/>
      <c r="G266" s="68"/>
      <c r="H266" s="68"/>
    </row>
    <row r="267" spans="1:8" ht="31.5">
      <c r="A267" s="67">
        <v>14.7</v>
      </c>
      <c r="B267" s="75" t="s">
        <v>719</v>
      </c>
      <c r="C267" s="67" t="s">
        <v>146</v>
      </c>
      <c r="D267" s="68"/>
      <c r="E267" s="68"/>
      <c r="F267" s="68"/>
      <c r="G267" s="68"/>
      <c r="H267" s="68"/>
    </row>
    <row r="268" spans="1:8" ht="31.5">
      <c r="A268" s="67" t="s">
        <v>720</v>
      </c>
      <c r="B268" s="68" t="s">
        <v>721</v>
      </c>
      <c r="C268" s="67" t="s">
        <v>146</v>
      </c>
      <c r="D268" s="68"/>
      <c r="E268" s="68"/>
      <c r="F268" s="68"/>
      <c r="G268" s="68"/>
      <c r="H268" s="68"/>
    </row>
    <row r="269" spans="1:8" ht="31.5">
      <c r="A269" s="67">
        <v>15.1</v>
      </c>
      <c r="B269" s="75" t="s">
        <v>722</v>
      </c>
      <c r="C269" s="67" t="s">
        <v>146</v>
      </c>
      <c r="D269" s="68"/>
      <c r="E269" s="68"/>
      <c r="F269" s="68"/>
      <c r="G269" s="68"/>
      <c r="H269" s="68"/>
    </row>
    <row r="270" spans="1:8" ht="31.5">
      <c r="A270" s="80" t="s">
        <v>875</v>
      </c>
      <c r="B270" s="75" t="s">
        <v>711</v>
      </c>
      <c r="C270" s="67" t="s">
        <v>146</v>
      </c>
      <c r="D270" s="68"/>
      <c r="E270" s="68"/>
      <c r="F270" s="68"/>
      <c r="G270" s="68"/>
      <c r="H270" s="68"/>
    </row>
    <row r="271" spans="1:8" ht="31.5">
      <c r="A271" s="80" t="s">
        <v>795</v>
      </c>
      <c r="B271" s="75" t="s">
        <v>712</v>
      </c>
      <c r="C271" s="67" t="s">
        <v>146</v>
      </c>
      <c r="D271" s="68"/>
      <c r="E271" s="68"/>
      <c r="F271" s="68"/>
      <c r="G271" s="68"/>
      <c r="H271" s="68"/>
    </row>
    <row r="273" spans="1:1">
      <c r="A273" s="57" t="s">
        <v>474</v>
      </c>
    </row>
    <row r="274" spans="1:1">
      <c r="A274" s="57" t="s">
        <v>475</v>
      </c>
    </row>
    <row r="275" spans="1:1">
      <c r="A275" s="57" t="s">
        <v>723</v>
      </c>
    </row>
    <row r="276" spans="1:1">
      <c r="A276" s="57" t="s">
        <v>477</v>
      </c>
    </row>
    <row r="277" spans="1:1">
      <c r="A277" s="57" t="s">
        <v>724</v>
      </c>
    </row>
    <row r="278" spans="1:1">
      <c r="A278" s="57" t="s">
        <v>479</v>
      </c>
    </row>
  </sheetData>
  <mergeCells count="34">
    <mergeCell ref="A24:B24"/>
    <mergeCell ref="A115:H115"/>
    <mergeCell ref="A199:H199"/>
    <mergeCell ref="A11:H11"/>
    <mergeCell ref="A19:H19"/>
    <mergeCell ref="A21:A22"/>
    <mergeCell ref="B21:B22"/>
    <mergeCell ref="C21:C22"/>
    <mergeCell ref="D21:E21"/>
    <mergeCell ref="F21:G21"/>
    <mergeCell ref="H21:H22"/>
    <mergeCell ref="A16:H16"/>
    <mergeCell ref="A6:H6"/>
    <mergeCell ref="A7:H7"/>
    <mergeCell ref="A9:H9"/>
    <mergeCell ref="A13:H13"/>
    <mergeCell ref="A15:H15"/>
    <mergeCell ref="U5:Y5"/>
    <mergeCell ref="P56:Y56"/>
    <mergeCell ref="P8:Y8"/>
    <mergeCell ref="P9:Y9"/>
    <mergeCell ref="P10:Y10"/>
    <mergeCell ref="P11:Y11"/>
    <mergeCell ref="P12:Y12"/>
    <mergeCell ref="P16:P17"/>
    <mergeCell ref="Q16:Q17"/>
    <mergeCell ref="P19:Q19"/>
    <mergeCell ref="Q13:S13"/>
    <mergeCell ref="Q14:S14"/>
    <mergeCell ref="P57:Y57"/>
    <mergeCell ref="P58:Y58"/>
    <mergeCell ref="P59:Y59"/>
    <mergeCell ref="P60:Y60"/>
    <mergeCell ref="P61:Y61"/>
  </mergeCells>
  <hyperlinks>
    <hyperlink ref="B78" location="Par10177" tooltip="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" display="Par10177"/>
    <hyperlink ref="B177" location="Par10175" tooltip="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" display="Par10175"/>
    <hyperlink ref="B261" location="Par10175" tooltip="&lt;**&gt; Строка заполняется в объеме притока денежных средств от эмиссии акций. В случае оплаты эмиссии акций с использованием не денежных операций данная строка не заполняется." display="Par10175"/>
  </hyperlinks>
  <printOptions horizontalCentered="1"/>
  <pageMargins left="0.51181102362204722" right="0.51181102362204722" top="0.55118110236220474" bottom="0.35433070866141736" header="0" footer="0"/>
  <pageSetup paperSize="9" scale="53" fitToHeight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0"/>
  <sheetViews>
    <sheetView topLeftCell="A10" workbookViewId="0">
      <selection activeCell="S449" sqref="S449"/>
    </sheetView>
  </sheetViews>
  <sheetFormatPr defaultColWidth="10.28515625" defaultRowHeight="15.75" outlineLevelRow="2"/>
  <cols>
    <col min="1" max="1" width="10.140625" style="494" customWidth="1"/>
    <col min="2" max="2" width="86.85546875" style="495" customWidth="1"/>
    <col min="3" max="3" width="13.140625" style="496" customWidth="1"/>
    <col min="4" max="4" width="15.28515625" style="288" customWidth="1"/>
    <col min="5" max="5" width="15.140625" style="288" customWidth="1"/>
    <col min="6" max="6" width="15.28515625" style="288" customWidth="1"/>
    <col min="7" max="7" width="15.140625" style="288" customWidth="1"/>
    <col min="8" max="8" width="15.28515625" style="496" hidden="1" customWidth="1"/>
    <col min="9" max="9" width="14.85546875" style="496" hidden="1" customWidth="1"/>
    <col min="10" max="10" width="17" style="497" hidden="1" customWidth="1"/>
    <col min="11" max="11" width="14.7109375" style="288" hidden="1" customWidth="1"/>
    <col min="12" max="12" width="15.28515625" style="288" hidden="1" customWidth="1"/>
    <col min="13" max="13" width="16" style="288" hidden="1" customWidth="1"/>
    <col min="14" max="14" width="15.7109375" style="288" hidden="1" customWidth="1"/>
    <col min="15" max="15" width="20.85546875" style="288" hidden="1" customWidth="1"/>
    <col min="16" max="16" width="10.28515625" style="288"/>
    <col min="17" max="17" width="14.85546875" style="288" hidden="1" customWidth="1"/>
    <col min="18" max="18" width="11.28515625" style="542" bestFit="1" customWidth="1"/>
    <col min="19" max="19" width="9.7109375" style="288" customWidth="1"/>
    <col min="20" max="16384" width="10.28515625" style="288"/>
  </cols>
  <sheetData>
    <row r="1" spans="1:18" s="280" customFormat="1">
      <c r="A1" s="603"/>
      <c r="B1" s="278"/>
      <c r="C1" s="278"/>
      <c r="D1" s="278"/>
      <c r="E1" s="279" t="s">
        <v>638</v>
      </c>
      <c r="F1" s="278"/>
      <c r="G1" s="278"/>
      <c r="H1" s="278"/>
      <c r="I1" s="278"/>
      <c r="R1" s="540"/>
    </row>
    <row r="2" spans="1:18" s="280" customFormat="1">
      <c r="A2" s="603"/>
      <c r="B2" s="278"/>
      <c r="C2" s="278"/>
      <c r="D2" s="278"/>
      <c r="E2" s="279" t="s">
        <v>23</v>
      </c>
      <c r="F2" s="278"/>
      <c r="R2" s="540"/>
    </row>
    <row r="3" spans="1:18" s="280" customFormat="1">
      <c r="A3" s="603"/>
      <c r="B3" s="278"/>
      <c r="C3" s="278"/>
      <c r="D3" s="278"/>
      <c r="E3" s="279" t="s">
        <v>24</v>
      </c>
      <c r="F3" s="278"/>
      <c r="R3" s="540"/>
    </row>
    <row r="4" spans="1:18" s="280" customFormat="1">
      <c r="A4" s="603"/>
      <c r="B4" s="278"/>
      <c r="C4" s="278"/>
      <c r="D4" s="278"/>
      <c r="E4" s="278"/>
      <c r="F4" s="278"/>
      <c r="R4" s="540"/>
    </row>
    <row r="5" spans="1:18" s="280" customFormat="1">
      <c r="A5" s="603"/>
      <c r="B5" s="278"/>
      <c r="C5" s="278"/>
      <c r="D5" s="278"/>
      <c r="E5" s="278"/>
      <c r="F5" s="278"/>
      <c r="R5" s="540"/>
    </row>
    <row r="6" spans="1:18" s="280" customFormat="1">
      <c r="A6" s="772" t="s">
        <v>639</v>
      </c>
      <c r="B6" s="772"/>
      <c r="C6" s="772"/>
      <c r="D6" s="772"/>
      <c r="E6" s="772"/>
      <c r="F6" s="772"/>
      <c r="G6" s="281"/>
      <c r="H6" s="281"/>
      <c r="I6" s="281"/>
      <c r="J6" s="281"/>
      <c r="K6" s="281"/>
      <c r="R6" s="540"/>
    </row>
    <row r="7" spans="1:18" s="280" customFormat="1">
      <c r="A7" s="772" t="s">
        <v>640</v>
      </c>
      <c r="B7" s="772"/>
      <c r="C7" s="772"/>
      <c r="D7" s="772"/>
      <c r="E7" s="772"/>
      <c r="F7" s="772"/>
      <c r="G7" s="281"/>
      <c r="H7" s="281"/>
      <c r="I7" s="281"/>
      <c r="J7" s="281"/>
      <c r="K7" s="281"/>
      <c r="R7" s="540"/>
    </row>
    <row r="8" spans="1:18" s="280" customFormat="1">
      <c r="A8" s="603"/>
      <c r="B8" s="278"/>
      <c r="C8" s="278"/>
      <c r="D8" s="278"/>
      <c r="E8" s="278"/>
      <c r="F8" s="278"/>
      <c r="R8" s="540"/>
    </row>
    <row r="9" spans="1:18" s="280" customFormat="1" ht="33" customHeight="1">
      <c r="A9" s="773" t="s">
        <v>741</v>
      </c>
      <c r="B9" s="773"/>
      <c r="C9" s="773"/>
      <c r="D9" s="773"/>
      <c r="E9" s="773"/>
      <c r="F9" s="773"/>
      <c r="G9" s="282"/>
      <c r="H9" s="283"/>
      <c r="I9" s="283"/>
      <c r="J9" s="283"/>
      <c r="K9" s="283"/>
      <c r="L9" s="283"/>
      <c r="M9" s="283"/>
      <c r="N9" s="283"/>
      <c r="O9" s="283"/>
      <c r="R9" s="540"/>
    </row>
    <row r="10" spans="1:18" s="280" customFormat="1">
      <c r="A10" s="603"/>
      <c r="B10" s="278"/>
      <c r="C10" s="278"/>
      <c r="D10" s="278"/>
      <c r="E10" s="278"/>
      <c r="F10" s="278"/>
      <c r="G10" s="281"/>
      <c r="H10" s="281"/>
      <c r="I10" s="281"/>
      <c r="J10" s="281"/>
      <c r="K10" s="281"/>
      <c r="R10" s="540"/>
    </row>
    <row r="11" spans="1:18" s="280" customFormat="1">
      <c r="A11" s="771" t="s">
        <v>742</v>
      </c>
      <c r="B11" s="771"/>
      <c r="C11" s="771"/>
      <c r="D11" s="771"/>
      <c r="E11" s="771"/>
      <c r="F11" s="771"/>
      <c r="G11" s="281"/>
      <c r="H11" s="281"/>
      <c r="I11" s="281"/>
      <c r="J11" s="281"/>
      <c r="K11" s="281"/>
      <c r="R11" s="540"/>
    </row>
    <row r="12" spans="1:18" s="280" customFormat="1">
      <c r="A12" s="603"/>
      <c r="B12" s="284"/>
      <c r="C12" s="284"/>
      <c r="D12" s="284"/>
      <c r="E12" s="284"/>
      <c r="F12" s="284"/>
      <c r="G12" s="285"/>
      <c r="H12" s="285"/>
      <c r="I12" s="285"/>
      <c r="J12" s="285"/>
      <c r="K12" s="285"/>
      <c r="R12" s="540"/>
    </row>
    <row r="13" spans="1:18" s="286" customFormat="1">
      <c r="A13" s="771" t="s">
        <v>725</v>
      </c>
      <c r="B13" s="771"/>
      <c r="C13" s="771"/>
      <c r="D13" s="771"/>
      <c r="E13" s="771"/>
      <c r="F13" s="771"/>
      <c r="G13" s="281"/>
      <c r="H13" s="281"/>
      <c r="I13" s="281"/>
      <c r="J13" s="281"/>
      <c r="K13" s="281"/>
      <c r="R13" s="541"/>
    </row>
    <row r="14" spans="1:18" s="280" customFormat="1">
      <c r="A14" s="603"/>
      <c r="B14" s="278"/>
      <c r="C14" s="278"/>
      <c r="D14" s="278"/>
      <c r="E14" s="278"/>
      <c r="F14" s="278"/>
      <c r="R14" s="540"/>
    </row>
    <row r="15" spans="1:18" s="280" customFormat="1">
      <c r="A15" s="771" t="s">
        <v>131</v>
      </c>
      <c r="B15" s="771"/>
      <c r="C15" s="771"/>
      <c r="D15" s="771"/>
      <c r="E15" s="771"/>
      <c r="F15" s="771"/>
      <c r="R15" s="540"/>
    </row>
    <row r="16" spans="1:18" s="280" customFormat="1" ht="39" customHeight="1">
      <c r="A16" s="750" t="s">
        <v>1190</v>
      </c>
      <c r="B16" s="774"/>
      <c r="C16" s="774"/>
      <c r="D16" s="774"/>
      <c r="E16" s="774"/>
      <c r="F16" s="774"/>
      <c r="G16" s="287"/>
      <c r="H16" s="287"/>
      <c r="I16" s="287"/>
      <c r="J16" s="287"/>
      <c r="K16" s="287"/>
      <c r="L16" s="287"/>
      <c r="M16" s="287"/>
      <c r="N16" s="287"/>
      <c r="O16" s="287"/>
      <c r="R16" s="540"/>
    </row>
    <row r="17" spans="1:18" s="280" customFormat="1" ht="26.25" customHeight="1">
      <c r="A17" s="603"/>
      <c r="B17" s="278"/>
      <c r="C17" s="278"/>
      <c r="D17" s="278"/>
      <c r="E17" s="278"/>
      <c r="F17" s="278"/>
      <c r="R17" s="540"/>
    </row>
    <row r="18" spans="1:18" s="280" customFormat="1" ht="16.5" thickBot="1">
      <c r="A18" s="604" t="s">
        <v>740</v>
      </c>
      <c r="B18" s="279"/>
      <c r="R18" s="540"/>
    </row>
    <row r="19" spans="1:18" ht="63" customHeight="1">
      <c r="A19" s="775" t="s">
        <v>1023</v>
      </c>
      <c r="B19" s="776" t="s">
        <v>137</v>
      </c>
      <c r="C19" s="777" t="s">
        <v>138</v>
      </c>
      <c r="D19" s="778" t="s">
        <v>1176</v>
      </c>
      <c r="E19" s="779"/>
      <c r="F19" s="779" t="s">
        <v>1104</v>
      </c>
      <c r="G19" s="779"/>
      <c r="H19" s="781"/>
      <c r="I19" s="782"/>
      <c r="J19" s="606"/>
      <c r="K19" s="606"/>
      <c r="L19" s="606"/>
      <c r="M19" s="606"/>
      <c r="N19" s="606"/>
      <c r="O19" s="796"/>
    </row>
    <row r="20" spans="1:18" ht="75" customHeight="1" thickBot="1">
      <c r="A20" s="797"/>
      <c r="B20" s="798"/>
      <c r="C20" s="799"/>
      <c r="D20" s="800" t="s">
        <v>11</v>
      </c>
      <c r="E20" s="800" t="s">
        <v>12</v>
      </c>
      <c r="F20" s="800" t="s">
        <v>141</v>
      </c>
      <c r="G20" s="800" t="s">
        <v>1105</v>
      </c>
      <c r="H20" s="801"/>
      <c r="I20" s="800"/>
      <c r="J20" s="801"/>
      <c r="K20" s="801"/>
      <c r="L20" s="801"/>
      <c r="M20" s="801"/>
      <c r="N20" s="801"/>
      <c r="O20" s="802"/>
    </row>
    <row r="21" spans="1:18" s="296" customFormat="1" ht="16.5" thickBot="1">
      <c r="A21" s="289">
        <v>1</v>
      </c>
      <c r="B21" s="290">
        <v>2</v>
      </c>
      <c r="C21" s="291">
        <v>3</v>
      </c>
      <c r="D21" s="292">
        <v>4</v>
      </c>
      <c r="E21" s="291">
        <v>5</v>
      </c>
      <c r="F21" s="292">
        <v>4</v>
      </c>
      <c r="G21" s="291">
        <v>5</v>
      </c>
      <c r="H21" s="293"/>
      <c r="I21" s="290"/>
      <c r="J21" s="293"/>
      <c r="K21" s="290"/>
      <c r="L21" s="294"/>
      <c r="M21" s="295"/>
      <c r="N21" s="292"/>
      <c r="O21" s="291"/>
      <c r="R21" s="543"/>
    </row>
    <row r="22" spans="1:18" s="296" customFormat="1" ht="19.5" thickBot="1">
      <c r="A22" s="783" t="s">
        <v>143</v>
      </c>
      <c r="B22" s="784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803"/>
      <c r="R22" s="543"/>
    </row>
    <row r="23" spans="1:18" s="296" customFormat="1" ht="16.5" thickBot="1">
      <c r="A23" s="297" t="s">
        <v>144</v>
      </c>
      <c r="B23" s="298" t="s">
        <v>1106</v>
      </c>
      <c r="C23" s="299" t="s">
        <v>1022</v>
      </c>
      <c r="D23" s="300">
        <v>204.45</v>
      </c>
      <c r="E23" s="301">
        <v>238.84</v>
      </c>
      <c r="F23" s="300">
        <v>34.380000000000003</v>
      </c>
      <c r="G23" s="301" t="e">
        <v>#DIV/0!</v>
      </c>
      <c r="H23" s="302"/>
      <c r="I23" s="303"/>
      <c r="J23" s="304"/>
      <c r="K23" s="304"/>
      <c r="L23" s="305"/>
      <c r="M23" s="304"/>
      <c r="N23" s="304"/>
      <c r="O23" s="804"/>
      <c r="R23" s="543"/>
    </row>
    <row r="24" spans="1:18" s="296" customFormat="1" outlineLevel="1">
      <c r="A24" s="306">
        <v>43466</v>
      </c>
      <c r="B24" s="314" t="s">
        <v>1107</v>
      </c>
      <c r="C24" s="307" t="s">
        <v>1022</v>
      </c>
      <c r="D24" s="323">
        <v>0</v>
      </c>
      <c r="E24" s="323">
        <v>0</v>
      </c>
      <c r="F24" s="323">
        <v>0</v>
      </c>
      <c r="G24" s="323" t="e">
        <v>#DIV/0!</v>
      </c>
      <c r="H24" s="308"/>
      <c r="I24" s="308"/>
      <c r="J24" s="805"/>
      <c r="K24" s="309"/>
      <c r="L24" s="309"/>
      <c r="M24" s="309"/>
      <c r="N24" s="309"/>
      <c r="O24" s="806"/>
      <c r="R24" s="543"/>
    </row>
    <row r="25" spans="1:18" s="296" customFormat="1" ht="31.5" outlineLevel="1">
      <c r="A25" s="306">
        <v>36892</v>
      </c>
      <c r="B25" s="311" t="s">
        <v>148</v>
      </c>
      <c r="C25" s="307" t="s">
        <v>1022</v>
      </c>
      <c r="D25" s="312">
        <v>0</v>
      </c>
      <c r="E25" s="312">
        <v>0</v>
      </c>
      <c r="F25" s="312">
        <v>0</v>
      </c>
      <c r="G25" s="312" t="e">
        <v>#DIV/0!</v>
      </c>
      <c r="H25" s="807"/>
      <c r="I25" s="309"/>
      <c r="J25" s="808"/>
      <c r="K25" s="313"/>
      <c r="L25" s="313"/>
      <c r="M25" s="313"/>
      <c r="N25" s="313"/>
      <c r="O25" s="806"/>
      <c r="R25" s="543"/>
    </row>
    <row r="26" spans="1:18" s="296" customFormat="1" ht="31.5" outlineLevel="1">
      <c r="A26" s="306">
        <v>37257</v>
      </c>
      <c r="B26" s="311" t="s">
        <v>149</v>
      </c>
      <c r="C26" s="307" t="s">
        <v>1022</v>
      </c>
      <c r="D26" s="312">
        <v>0</v>
      </c>
      <c r="E26" s="312">
        <v>0</v>
      </c>
      <c r="F26" s="312">
        <v>0</v>
      </c>
      <c r="G26" s="312" t="e">
        <v>#DIV/0!</v>
      </c>
      <c r="H26" s="807"/>
      <c r="I26" s="309"/>
      <c r="J26" s="808"/>
      <c r="K26" s="313"/>
      <c r="L26" s="313"/>
      <c r="M26" s="313"/>
      <c r="N26" s="313"/>
      <c r="O26" s="806"/>
      <c r="R26" s="543"/>
    </row>
    <row r="27" spans="1:18" s="296" customFormat="1" ht="31.5" outlineLevel="1">
      <c r="A27" s="306">
        <v>37622</v>
      </c>
      <c r="B27" s="311" t="s">
        <v>150</v>
      </c>
      <c r="C27" s="307" t="s">
        <v>1022</v>
      </c>
      <c r="D27" s="312">
        <v>0</v>
      </c>
      <c r="E27" s="312">
        <v>0</v>
      </c>
      <c r="F27" s="312">
        <v>0</v>
      </c>
      <c r="G27" s="312" t="e">
        <v>#DIV/0!</v>
      </c>
      <c r="H27" s="807"/>
      <c r="I27" s="309"/>
      <c r="J27" s="808"/>
      <c r="K27" s="313"/>
      <c r="L27" s="313"/>
      <c r="M27" s="313"/>
      <c r="N27" s="313"/>
      <c r="O27" s="806"/>
      <c r="R27" s="543"/>
    </row>
    <row r="28" spans="1:18" s="296" customFormat="1" outlineLevel="1">
      <c r="A28" s="306">
        <v>43497</v>
      </c>
      <c r="B28" s="314" t="s">
        <v>151</v>
      </c>
      <c r="C28" s="307" t="s">
        <v>1022</v>
      </c>
      <c r="D28" s="312">
        <v>0</v>
      </c>
      <c r="E28" s="312">
        <v>0</v>
      </c>
      <c r="F28" s="312">
        <v>0</v>
      </c>
      <c r="G28" s="312" t="e">
        <v>#DIV/0!</v>
      </c>
      <c r="H28" s="807"/>
      <c r="I28" s="309"/>
      <c r="J28" s="808"/>
      <c r="K28" s="313"/>
      <c r="L28" s="313"/>
      <c r="M28" s="313"/>
      <c r="N28" s="313"/>
      <c r="O28" s="806"/>
      <c r="R28" s="543"/>
    </row>
    <row r="29" spans="1:18" s="296" customFormat="1" outlineLevel="1">
      <c r="A29" s="306">
        <v>43525</v>
      </c>
      <c r="B29" s="314" t="s">
        <v>152</v>
      </c>
      <c r="C29" s="307" t="s">
        <v>1022</v>
      </c>
      <c r="D29" s="502">
        <v>204.1</v>
      </c>
      <c r="E29" s="502">
        <v>238.3</v>
      </c>
      <c r="F29" s="312">
        <v>34.200000000000003</v>
      </c>
      <c r="G29" s="312">
        <v>16.760000000000002</v>
      </c>
      <c r="H29" s="318"/>
      <c r="I29" s="318"/>
      <c r="J29" s="809"/>
      <c r="K29" s="318"/>
      <c r="L29" s="318"/>
      <c r="M29" s="318"/>
      <c r="N29" s="318"/>
      <c r="O29" s="810"/>
      <c r="R29" s="543"/>
    </row>
    <row r="30" spans="1:18" s="296" customFormat="1" outlineLevel="1">
      <c r="A30" s="306">
        <v>43556</v>
      </c>
      <c r="B30" s="314" t="s">
        <v>153</v>
      </c>
      <c r="C30" s="307" t="s">
        <v>1022</v>
      </c>
      <c r="D30" s="312">
        <v>0</v>
      </c>
      <c r="E30" s="312">
        <v>0</v>
      </c>
      <c r="F30" s="312">
        <v>0</v>
      </c>
      <c r="G30" s="312" t="e">
        <v>#DIV/0!</v>
      </c>
      <c r="H30" s="811"/>
      <c r="I30" s="319"/>
      <c r="J30" s="812"/>
      <c r="K30" s="320"/>
      <c r="L30" s="313"/>
      <c r="M30" s="313"/>
      <c r="N30" s="313"/>
      <c r="O30" s="813"/>
      <c r="R30" s="543"/>
    </row>
    <row r="31" spans="1:18" s="296" customFormat="1" outlineLevel="1">
      <c r="A31" s="306">
        <v>43586</v>
      </c>
      <c r="B31" s="314" t="s">
        <v>154</v>
      </c>
      <c r="C31" s="307" t="s">
        <v>1022</v>
      </c>
      <c r="D31" s="502">
        <v>0.35</v>
      </c>
      <c r="E31" s="502">
        <v>0.53</v>
      </c>
      <c r="F31" s="312">
        <v>0.18</v>
      </c>
      <c r="G31" s="312">
        <v>52.09</v>
      </c>
      <c r="H31" s="814"/>
      <c r="I31" s="814"/>
      <c r="J31" s="815"/>
      <c r="K31" s="318"/>
      <c r="L31" s="318"/>
      <c r="M31" s="318"/>
      <c r="N31" s="318"/>
      <c r="O31" s="810"/>
      <c r="R31" s="543"/>
    </row>
    <row r="32" spans="1:18" s="296" customFormat="1" outlineLevel="1">
      <c r="A32" s="306">
        <v>43617</v>
      </c>
      <c r="B32" s="314" t="s">
        <v>155</v>
      </c>
      <c r="C32" s="307" t="s">
        <v>1022</v>
      </c>
      <c r="D32" s="312">
        <v>0</v>
      </c>
      <c r="E32" s="312">
        <v>0</v>
      </c>
      <c r="F32" s="312">
        <v>0</v>
      </c>
      <c r="G32" s="312" t="e">
        <v>#DIV/0!</v>
      </c>
      <c r="H32" s="816"/>
      <c r="I32" s="321"/>
      <c r="J32" s="817"/>
      <c r="K32" s="322"/>
      <c r="L32" s="322"/>
      <c r="M32" s="322"/>
      <c r="N32" s="322"/>
      <c r="O32" s="810"/>
      <c r="R32" s="543"/>
    </row>
    <row r="33" spans="1:18" s="296" customFormat="1" outlineLevel="1">
      <c r="A33" s="306">
        <v>43647</v>
      </c>
      <c r="B33" s="314" t="s">
        <v>156</v>
      </c>
      <c r="C33" s="307" t="s">
        <v>1022</v>
      </c>
      <c r="D33" s="312">
        <v>0</v>
      </c>
      <c r="E33" s="312">
        <v>0</v>
      </c>
      <c r="F33" s="312">
        <v>0</v>
      </c>
      <c r="G33" s="312" t="e">
        <v>#DIV/0!</v>
      </c>
      <c r="H33" s="807"/>
      <c r="I33" s="309"/>
      <c r="J33" s="808"/>
      <c r="K33" s="313"/>
      <c r="L33" s="313"/>
      <c r="M33" s="313"/>
      <c r="N33" s="313"/>
      <c r="O33" s="813"/>
      <c r="R33" s="543"/>
    </row>
    <row r="34" spans="1:18" s="296" customFormat="1" ht="31.5" outlineLevel="1">
      <c r="A34" s="306">
        <v>43678</v>
      </c>
      <c r="B34" s="311" t="s">
        <v>157</v>
      </c>
      <c r="C34" s="307" t="s">
        <v>1022</v>
      </c>
      <c r="D34" s="323">
        <v>0</v>
      </c>
      <c r="E34" s="323">
        <v>0</v>
      </c>
      <c r="F34" s="312">
        <v>0</v>
      </c>
      <c r="G34" s="312" t="e">
        <v>#DIV/0!</v>
      </c>
      <c r="H34" s="309"/>
      <c r="I34" s="309"/>
      <c r="J34" s="309"/>
      <c r="K34" s="309"/>
      <c r="L34" s="309"/>
      <c r="M34" s="309"/>
      <c r="N34" s="309"/>
      <c r="O34" s="818"/>
      <c r="R34" s="543"/>
    </row>
    <row r="35" spans="1:18" s="296" customFormat="1" outlineLevel="1">
      <c r="A35" s="306">
        <v>37104</v>
      </c>
      <c r="B35" s="324" t="s">
        <v>1108</v>
      </c>
      <c r="C35" s="307" t="s">
        <v>1022</v>
      </c>
      <c r="D35" s="312">
        <v>0</v>
      </c>
      <c r="E35" s="312">
        <v>0</v>
      </c>
      <c r="F35" s="312">
        <v>0</v>
      </c>
      <c r="G35" s="312" t="e">
        <v>#DIV/0!</v>
      </c>
      <c r="H35" s="807"/>
      <c r="I35" s="309"/>
      <c r="J35" s="808"/>
      <c r="K35" s="313"/>
      <c r="L35" s="313"/>
      <c r="M35" s="313"/>
      <c r="N35" s="313"/>
      <c r="O35" s="813"/>
      <c r="R35" s="543"/>
    </row>
    <row r="36" spans="1:18" s="296" customFormat="1" outlineLevel="1">
      <c r="A36" s="306">
        <v>37469</v>
      </c>
      <c r="B36" s="324" t="s">
        <v>159</v>
      </c>
      <c r="C36" s="307" t="s">
        <v>1022</v>
      </c>
      <c r="D36" s="312">
        <v>0</v>
      </c>
      <c r="E36" s="312">
        <v>0</v>
      </c>
      <c r="F36" s="312">
        <v>0</v>
      </c>
      <c r="G36" s="312" t="e">
        <v>#DIV/0!</v>
      </c>
      <c r="H36" s="807"/>
      <c r="I36" s="309"/>
      <c r="J36" s="808"/>
      <c r="K36" s="313"/>
      <c r="L36" s="313"/>
      <c r="M36" s="313"/>
      <c r="N36" s="313"/>
      <c r="O36" s="813"/>
      <c r="R36" s="543"/>
    </row>
    <row r="37" spans="1:18" s="296" customFormat="1" ht="16.5" outlineLevel="1" thickBot="1">
      <c r="A37" s="306">
        <v>43709</v>
      </c>
      <c r="B37" s="314" t="s">
        <v>160</v>
      </c>
      <c r="C37" s="307" t="s">
        <v>1022</v>
      </c>
      <c r="D37" s="312">
        <v>0</v>
      </c>
      <c r="E37" s="312">
        <v>0</v>
      </c>
      <c r="F37" s="312"/>
      <c r="G37" s="312"/>
      <c r="H37" s="816"/>
      <c r="I37" s="325"/>
      <c r="J37" s="816"/>
      <c r="K37" s="322"/>
      <c r="L37" s="322"/>
      <c r="M37" s="322"/>
      <c r="N37" s="322"/>
      <c r="O37" s="810"/>
      <c r="R37" s="543"/>
    </row>
    <row r="38" spans="1:18" s="296" customFormat="1" ht="32.25" thickBot="1">
      <c r="A38" s="297" t="s">
        <v>161</v>
      </c>
      <c r="B38" s="298" t="s">
        <v>162</v>
      </c>
      <c r="C38" s="299" t="s">
        <v>1022</v>
      </c>
      <c r="D38" s="301">
        <v>190.06</v>
      </c>
      <c r="E38" s="301">
        <v>217.5</v>
      </c>
      <c r="F38" s="301">
        <v>0</v>
      </c>
      <c r="G38" s="301" t="e">
        <v>#DIV/0!</v>
      </c>
      <c r="H38" s="303"/>
      <c r="I38" s="302"/>
      <c r="J38" s="304"/>
      <c r="K38" s="304"/>
      <c r="L38" s="304"/>
      <c r="M38" s="304"/>
      <c r="N38" s="304"/>
      <c r="O38" s="304"/>
      <c r="R38" s="543"/>
    </row>
    <row r="39" spans="1:18" s="296" customFormat="1" outlineLevel="1">
      <c r="A39" s="306">
        <v>43467</v>
      </c>
      <c r="B39" s="314" t="s">
        <v>1107</v>
      </c>
      <c r="C39" s="307" t="s">
        <v>1022</v>
      </c>
      <c r="D39" s="323">
        <v>0</v>
      </c>
      <c r="E39" s="323">
        <v>0</v>
      </c>
      <c r="F39" s="323">
        <v>0</v>
      </c>
      <c r="G39" s="323" t="e">
        <v>#DIV/0!</v>
      </c>
      <c r="H39" s="308"/>
      <c r="I39" s="308"/>
      <c r="J39" s="308"/>
      <c r="K39" s="308"/>
      <c r="L39" s="308"/>
      <c r="M39" s="308"/>
      <c r="N39" s="308"/>
      <c r="O39" s="819"/>
      <c r="R39" s="543"/>
    </row>
    <row r="40" spans="1:18" s="296" customFormat="1" ht="31.5" outlineLevel="1">
      <c r="A40" s="306">
        <v>36893</v>
      </c>
      <c r="B40" s="326" t="s">
        <v>148</v>
      </c>
      <c r="C40" s="307" t="s">
        <v>1022</v>
      </c>
      <c r="D40" s="327">
        <v>0</v>
      </c>
      <c r="E40" s="327">
        <v>0</v>
      </c>
      <c r="F40" s="312">
        <v>0</v>
      </c>
      <c r="G40" s="312" t="e">
        <v>#DIV/0!</v>
      </c>
      <c r="H40" s="807"/>
      <c r="I40" s="309"/>
      <c r="J40" s="310"/>
      <c r="K40" s="310"/>
      <c r="L40" s="310"/>
      <c r="M40" s="310"/>
      <c r="N40" s="310"/>
      <c r="O40" s="806"/>
      <c r="Q40" s="543"/>
      <c r="R40" s="543"/>
    </row>
    <row r="41" spans="1:18" s="296" customFormat="1" ht="31.5" outlineLevel="1">
      <c r="A41" s="306">
        <v>37258</v>
      </c>
      <c r="B41" s="326" t="s">
        <v>149</v>
      </c>
      <c r="C41" s="307" t="s">
        <v>1022</v>
      </c>
      <c r="D41" s="327">
        <v>0</v>
      </c>
      <c r="E41" s="327">
        <v>0</v>
      </c>
      <c r="F41" s="312">
        <v>0</v>
      </c>
      <c r="G41" s="312" t="e">
        <v>#DIV/0!</v>
      </c>
      <c r="H41" s="807"/>
      <c r="I41" s="309"/>
      <c r="J41" s="310"/>
      <c r="K41" s="310"/>
      <c r="L41" s="310"/>
      <c r="M41" s="310"/>
      <c r="N41" s="310"/>
      <c r="O41" s="806"/>
      <c r="Q41" s="543"/>
      <c r="R41" s="543"/>
    </row>
    <row r="42" spans="1:18" s="296" customFormat="1" ht="31.5" outlineLevel="1">
      <c r="A42" s="306">
        <v>37623</v>
      </c>
      <c r="B42" s="326" t="s">
        <v>150</v>
      </c>
      <c r="C42" s="307" t="s">
        <v>1022</v>
      </c>
      <c r="D42" s="327">
        <v>0</v>
      </c>
      <c r="E42" s="327">
        <v>0</v>
      </c>
      <c r="F42" s="312">
        <v>0</v>
      </c>
      <c r="G42" s="312" t="e">
        <v>#DIV/0!</v>
      </c>
      <c r="H42" s="807"/>
      <c r="I42" s="309"/>
      <c r="J42" s="310"/>
      <c r="K42" s="310"/>
      <c r="L42" s="310"/>
      <c r="M42" s="310"/>
      <c r="N42" s="310"/>
      <c r="O42" s="806"/>
      <c r="Q42" s="543"/>
      <c r="R42" s="543"/>
    </row>
    <row r="43" spans="1:18" s="296" customFormat="1" outlineLevel="1">
      <c r="A43" s="306">
        <v>43498</v>
      </c>
      <c r="B43" s="314" t="s">
        <v>151</v>
      </c>
      <c r="C43" s="307" t="s">
        <v>1022</v>
      </c>
      <c r="D43" s="327">
        <v>0</v>
      </c>
      <c r="E43" s="327">
        <v>0</v>
      </c>
      <c r="F43" s="312">
        <v>0</v>
      </c>
      <c r="G43" s="312" t="e">
        <v>#DIV/0!</v>
      </c>
      <c r="H43" s="807"/>
      <c r="I43" s="309"/>
      <c r="J43" s="310"/>
      <c r="K43" s="310"/>
      <c r="L43" s="310"/>
      <c r="M43" s="310"/>
      <c r="N43" s="310"/>
      <c r="O43" s="806"/>
      <c r="Q43" s="543"/>
      <c r="R43" s="543"/>
    </row>
    <row r="44" spans="1:18" s="296" customFormat="1" outlineLevel="1">
      <c r="A44" s="306">
        <v>43526</v>
      </c>
      <c r="B44" s="314" t="s">
        <v>152</v>
      </c>
      <c r="C44" s="307" t="s">
        <v>1022</v>
      </c>
      <c r="D44" s="327">
        <v>189.86</v>
      </c>
      <c r="E44" s="327">
        <v>216.37</v>
      </c>
      <c r="F44" s="327"/>
      <c r="G44" s="327"/>
      <c r="H44" s="329"/>
      <c r="I44" s="329"/>
      <c r="J44" s="329"/>
      <c r="K44" s="329"/>
      <c r="L44" s="329"/>
      <c r="M44" s="329"/>
      <c r="N44" s="329"/>
      <c r="O44" s="810"/>
      <c r="Q44" s="543"/>
      <c r="R44" s="543"/>
    </row>
    <row r="45" spans="1:18" s="296" customFormat="1" outlineLevel="1">
      <c r="A45" s="306">
        <v>43557</v>
      </c>
      <c r="B45" s="314" t="s">
        <v>153</v>
      </c>
      <c r="C45" s="307" t="s">
        <v>1022</v>
      </c>
      <c r="D45" s="312">
        <v>0</v>
      </c>
      <c r="E45" s="312">
        <v>0</v>
      </c>
      <c r="F45" s="312">
        <v>0</v>
      </c>
      <c r="G45" s="312" t="e">
        <v>#DIV/0!</v>
      </c>
      <c r="H45" s="807"/>
      <c r="I45" s="807"/>
      <c r="J45" s="330"/>
      <c r="K45" s="330"/>
      <c r="L45" s="310"/>
      <c r="M45" s="310"/>
      <c r="N45" s="310"/>
      <c r="O45" s="806"/>
      <c r="Q45" s="543"/>
      <c r="R45" s="543"/>
    </row>
    <row r="46" spans="1:18" s="296" customFormat="1" outlineLevel="1">
      <c r="A46" s="306">
        <v>43587</v>
      </c>
      <c r="B46" s="314" t="s">
        <v>154</v>
      </c>
      <c r="C46" s="307" t="s">
        <v>1022</v>
      </c>
      <c r="D46" s="327">
        <v>0.2</v>
      </c>
      <c r="E46" s="327">
        <v>1.1200000000000001</v>
      </c>
      <c r="F46" s="327"/>
      <c r="G46" s="327"/>
      <c r="H46" s="329"/>
      <c r="I46" s="329"/>
      <c r="J46" s="329"/>
      <c r="K46" s="329"/>
      <c r="L46" s="329"/>
      <c r="M46" s="329"/>
      <c r="N46" s="329"/>
      <c r="O46" s="810"/>
      <c r="Q46" s="543"/>
      <c r="R46" s="543"/>
    </row>
    <row r="47" spans="1:18" s="296" customFormat="1" outlineLevel="1">
      <c r="A47" s="306">
        <v>43618</v>
      </c>
      <c r="B47" s="314" t="s">
        <v>155</v>
      </c>
      <c r="C47" s="307" t="s">
        <v>1022</v>
      </c>
      <c r="D47" s="312">
        <v>0</v>
      </c>
      <c r="E47" s="312">
        <v>0</v>
      </c>
      <c r="F47" s="312">
        <v>0</v>
      </c>
      <c r="G47" s="312" t="e">
        <v>#DIV/0!</v>
      </c>
      <c r="H47" s="807"/>
      <c r="I47" s="807"/>
      <c r="J47" s="310"/>
      <c r="K47" s="310"/>
      <c r="L47" s="310"/>
      <c r="M47" s="310"/>
      <c r="N47" s="310"/>
      <c r="O47" s="806"/>
      <c r="Q47" s="543"/>
      <c r="R47" s="543"/>
    </row>
    <row r="48" spans="1:18" s="296" customFormat="1" outlineLevel="1">
      <c r="A48" s="306">
        <v>43648</v>
      </c>
      <c r="B48" s="314" t="s">
        <v>156</v>
      </c>
      <c r="C48" s="307" t="s">
        <v>1022</v>
      </c>
      <c r="D48" s="312">
        <v>0</v>
      </c>
      <c r="E48" s="312">
        <v>0</v>
      </c>
      <c r="F48" s="312">
        <v>0</v>
      </c>
      <c r="G48" s="312" t="e">
        <v>#DIV/0!</v>
      </c>
      <c r="H48" s="807"/>
      <c r="I48" s="807"/>
      <c r="J48" s="310"/>
      <c r="K48" s="310"/>
      <c r="L48" s="310"/>
      <c r="M48" s="310"/>
      <c r="N48" s="310"/>
      <c r="O48" s="806"/>
      <c r="Q48" s="543"/>
      <c r="R48" s="543"/>
    </row>
    <row r="49" spans="1:18" s="296" customFormat="1" ht="31.5" outlineLevel="1">
      <c r="A49" s="306">
        <v>43679</v>
      </c>
      <c r="B49" s="311" t="s">
        <v>157</v>
      </c>
      <c r="C49" s="307" t="s">
        <v>1022</v>
      </c>
      <c r="D49" s="323">
        <v>0</v>
      </c>
      <c r="E49" s="323">
        <v>0</v>
      </c>
      <c r="F49" s="312">
        <v>0</v>
      </c>
      <c r="G49" s="312" t="e">
        <v>#DIV/0!</v>
      </c>
      <c r="H49" s="309"/>
      <c r="I49" s="309"/>
      <c r="J49" s="309"/>
      <c r="K49" s="309"/>
      <c r="L49" s="309"/>
      <c r="M49" s="309"/>
      <c r="N49" s="309"/>
      <c r="O49" s="818"/>
      <c r="Q49" s="543"/>
      <c r="R49" s="543"/>
    </row>
    <row r="50" spans="1:18" s="296" customFormat="1" outlineLevel="1">
      <c r="A50" s="306">
        <v>37105</v>
      </c>
      <c r="B50" s="326" t="s">
        <v>1108</v>
      </c>
      <c r="C50" s="307" t="s">
        <v>1022</v>
      </c>
      <c r="D50" s="327">
        <v>0</v>
      </c>
      <c r="E50" s="327">
        <v>0</v>
      </c>
      <c r="F50" s="312">
        <v>0</v>
      </c>
      <c r="G50" s="312" t="e">
        <v>#DIV/0!</v>
      </c>
      <c r="H50" s="331"/>
      <c r="I50" s="331"/>
      <c r="J50" s="310"/>
      <c r="K50" s="310"/>
      <c r="L50" s="310"/>
      <c r="M50" s="310"/>
      <c r="N50" s="310"/>
      <c r="O50" s="806"/>
      <c r="Q50" s="543"/>
      <c r="R50" s="543"/>
    </row>
    <row r="51" spans="1:18" s="296" customFormat="1" outlineLevel="1">
      <c r="A51" s="306">
        <v>37470</v>
      </c>
      <c r="B51" s="326" t="s">
        <v>159</v>
      </c>
      <c r="C51" s="307" t="s">
        <v>1022</v>
      </c>
      <c r="D51" s="327">
        <v>0</v>
      </c>
      <c r="E51" s="327">
        <v>0</v>
      </c>
      <c r="F51" s="312">
        <v>0</v>
      </c>
      <c r="G51" s="312" t="e">
        <v>#DIV/0!</v>
      </c>
      <c r="H51" s="820"/>
      <c r="I51" s="820"/>
      <c r="J51" s="310"/>
      <c r="K51" s="310"/>
      <c r="L51" s="310"/>
      <c r="M51" s="310"/>
      <c r="N51" s="310"/>
      <c r="O51" s="806"/>
      <c r="Q51" s="543"/>
      <c r="R51" s="543"/>
    </row>
    <row r="52" spans="1:18" s="296" customFormat="1" ht="16.5" outlineLevel="1" thickBot="1">
      <c r="A52" s="821">
        <v>43710</v>
      </c>
      <c r="B52" s="822" t="s">
        <v>160</v>
      </c>
      <c r="C52" s="823" t="s">
        <v>1022</v>
      </c>
      <c r="D52" s="824"/>
      <c r="E52" s="824"/>
      <c r="F52" s="824">
        <v>0</v>
      </c>
      <c r="G52" s="824"/>
      <c r="H52" s="825"/>
      <c r="I52" s="825"/>
      <c r="J52" s="826"/>
      <c r="K52" s="826"/>
      <c r="L52" s="826"/>
      <c r="M52" s="826"/>
      <c r="N52" s="826"/>
      <c r="O52" s="827"/>
      <c r="R52" s="543"/>
    </row>
    <row r="53" spans="1:18" s="296" customFormat="1" ht="16.5" outlineLevel="1" thickBot="1">
      <c r="A53" s="332" t="s">
        <v>163</v>
      </c>
      <c r="B53" s="333" t="s">
        <v>164</v>
      </c>
      <c r="C53" s="334" t="s">
        <v>1022</v>
      </c>
      <c r="D53" s="335">
        <v>48.25</v>
      </c>
      <c r="E53" s="335">
        <v>49.09</v>
      </c>
      <c r="F53" s="335">
        <v>0.84</v>
      </c>
      <c r="G53" s="335" t="e">
        <v>#DIV/0!</v>
      </c>
      <c r="H53" s="336"/>
      <c r="I53" s="336"/>
      <c r="J53" s="336"/>
      <c r="K53" s="336"/>
      <c r="L53" s="336"/>
      <c r="M53" s="336"/>
      <c r="N53" s="336"/>
      <c r="O53" s="336"/>
      <c r="Q53" s="544"/>
      <c r="R53" s="543"/>
    </row>
    <row r="54" spans="1:18" s="296" customFormat="1" outlineLevel="1">
      <c r="A54" s="337">
        <v>36893</v>
      </c>
      <c r="B54" s="338" t="s">
        <v>165</v>
      </c>
      <c r="C54" s="339" t="s">
        <v>1022</v>
      </c>
      <c r="D54" s="340">
        <v>0</v>
      </c>
      <c r="E54" s="341">
        <v>0</v>
      </c>
      <c r="F54" s="312">
        <v>0</v>
      </c>
      <c r="G54" s="312" t="e">
        <v>#DIV/0!</v>
      </c>
      <c r="H54" s="331"/>
      <c r="I54" s="342"/>
      <c r="J54" s="343"/>
      <c r="K54" s="343"/>
      <c r="L54" s="343"/>
      <c r="M54" s="343"/>
      <c r="N54" s="343"/>
      <c r="O54" s="828"/>
      <c r="R54" s="543"/>
    </row>
    <row r="55" spans="1:18" s="296" customFormat="1" outlineLevel="1">
      <c r="A55" s="306">
        <v>37258</v>
      </c>
      <c r="B55" s="324" t="s">
        <v>166</v>
      </c>
      <c r="C55" s="307" t="s">
        <v>1022</v>
      </c>
      <c r="D55" s="323">
        <v>41.61</v>
      </c>
      <c r="E55" s="829">
        <v>43.61</v>
      </c>
      <c r="F55" s="312">
        <v>1.99</v>
      </c>
      <c r="G55" s="312">
        <v>4.79</v>
      </c>
      <c r="H55" s="309"/>
      <c r="I55" s="805"/>
      <c r="J55" s="309"/>
      <c r="K55" s="309"/>
      <c r="L55" s="309"/>
      <c r="M55" s="309"/>
      <c r="N55" s="309"/>
      <c r="O55" s="818"/>
      <c r="Q55" s="543"/>
      <c r="R55" s="543"/>
    </row>
    <row r="56" spans="1:18" s="296" customFormat="1" outlineLevel="1">
      <c r="A56" s="306" t="s">
        <v>167</v>
      </c>
      <c r="B56" s="344" t="s">
        <v>168</v>
      </c>
      <c r="C56" s="307" t="s">
        <v>1022</v>
      </c>
      <c r="D56" s="345">
        <v>41.61</v>
      </c>
      <c r="E56" s="346">
        <v>43.61</v>
      </c>
      <c r="F56" s="312">
        <v>1.99</v>
      </c>
      <c r="G56" s="312">
        <v>4.79</v>
      </c>
      <c r="H56" s="309"/>
      <c r="I56" s="309"/>
      <c r="J56" s="308"/>
      <c r="K56" s="308"/>
      <c r="L56" s="308"/>
      <c r="M56" s="308"/>
      <c r="N56" s="308"/>
      <c r="O56" s="818"/>
      <c r="R56" s="543"/>
    </row>
    <row r="57" spans="1:18" s="296" customFormat="1" ht="31.5" outlineLevel="1">
      <c r="A57" s="306" t="s">
        <v>169</v>
      </c>
      <c r="B57" s="349" t="s">
        <v>170</v>
      </c>
      <c r="C57" s="307" t="s">
        <v>1022</v>
      </c>
      <c r="D57" s="327">
        <v>41.61</v>
      </c>
      <c r="E57" s="830">
        <v>43.61</v>
      </c>
      <c r="F57" s="327">
        <v>1.99</v>
      </c>
      <c r="G57" s="830">
        <v>4.79</v>
      </c>
      <c r="H57" s="347"/>
      <c r="I57" s="347"/>
      <c r="J57" s="348"/>
      <c r="K57" s="329"/>
      <c r="L57" s="329"/>
      <c r="M57" s="329"/>
      <c r="N57" s="329"/>
      <c r="O57" s="810"/>
      <c r="R57" s="543"/>
    </row>
    <row r="58" spans="1:18" s="296" customFormat="1" outlineLevel="1">
      <c r="A58" s="306" t="s">
        <v>171</v>
      </c>
      <c r="B58" s="349" t="s">
        <v>172</v>
      </c>
      <c r="C58" s="307" t="s">
        <v>1022</v>
      </c>
      <c r="D58" s="327">
        <v>0</v>
      </c>
      <c r="E58" s="830">
        <v>0</v>
      </c>
      <c r="F58" s="312">
        <v>0</v>
      </c>
      <c r="G58" s="312" t="e">
        <v>#DIV/0!</v>
      </c>
      <c r="H58" s="350"/>
      <c r="I58" s="831"/>
      <c r="J58" s="351"/>
      <c r="K58" s="310"/>
      <c r="L58" s="310"/>
      <c r="M58" s="310"/>
      <c r="N58" s="310"/>
      <c r="O58" s="806"/>
      <c r="R58" s="543"/>
    </row>
    <row r="59" spans="1:18" s="296" customFormat="1" outlineLevel="1">
      <c r="A59" s="306" t="s">
        <v>173</v>
      </c>
      <c r="B59" s="344" t="s">
        <v>174</v>
      </c>
      <c r="C59" s="307" t="s">
        <v>1022</v>
      </c>
      <c r="D59" s="327">
        <v>0</v>
      </c>
      <c r="E59" s="830">
        <v>0</v>
      </c>
      <c r="F59" s="312">
        <v>0</v>
      </c>
      <c r="G59" s="312" t="e">
        <v>#DIV/0!</v>
      </c>
      <c r="H59" s="350"/>
      <c r="I59" s="831"/>
      <c r="J59" s="351"/>
      <c r="K59" s="310"/>
      <c r="L59" s="310"/>
      <c r="M59" s="310"/>
      <c r="N59" s="310"/>
      <c r="O59" s="806"/>
      <c r="R59" s="543"/>
    </row>
    <row r="60" spans="1:18" s="296" customFormat="1" outlineLevel="1">
      <c r="A60" s="306">
        <v>37623</v>
      </c>
      <c r="B60" s="324" t="s">
        <v>175</v>
      </c>
      <c r="C60" s="307" t="s">
        <v>1022</v>
      </c>
      <c r="D60" s="327">
        <v>6.63</v>
      </c>
      <c r="E60" s="830">
        <v>5.48</v>
      </c>
      <c r="F60" s="327">
        <v>-1.1499999999999999</v>
      </c>
      <c r="G60" s="830">
        <v>-17.41</v>
      </c>
      <c r="H60" s="353"/>
      <c r="I60" s="353"/>
      <c r="J60" s="354"/>
      <c r="K60" s="329"/>
      <c r="L60" s="329"/>
      <c r="M60" s="329"/>
      <c r="N60" s="329"/>
      <c r="O60" s="810"/>
      <c r="R60" s="543"/>
    </row>
    <row r="61" spans="1:18" s="296" customFormat="1" ht="16.5" outlineLevel="1" thickBot="1">
      <c r="A61" s="821">
        <v>37988</v>
      </c>
      <c r="B61" s="832" t="s">
        <v>176</v>
      </c>
      <c r="C61" s="823" t="s">
        <v>1022</v>
      </c>
      <c r="D61" s="824">
        <v>0</v>
      </c>
      <c r="E61" s="833">
        <v>0</v>
      </c>
      <c r="F61" s="327">
        <v>0</v>
      </c>
      <c r="G61" s="830" t="e">
        <v>#DIV/0!</v>
      </c>
      <c r="H61" s="355"/>
      <c r="I61" s="834"/>
      <c r="J61" s="826"/>
      <c r="K61" s="826"/>
      <c r="L61" s="826"/>
      <c r="M61" s="826"/>
      <c r="N61" s="826"/>
      <c r="O61" s="827"/>
      <c r="R61" s="543"/>
    </row>
    <row r="62" spans="1:18" s="296" customFormat="1" ht="16.5" outlineLevel="1" thickBot="1">
      <c r="A62" s="332" t="s">
        <v>177</v>
      </c>
      <c r="B62" s="333" t="s">
        <v>178</v>
      </c>
      <c r="C62" s="334" t="s">
        <v>1022</v>
      </c>
      <c r="D62" s="335">
        <v>59.42</v>
      </c>
      <c r="E62" s="335">
        <v>72.67</v>
      </c>
      <c r="F62" s="335">
        <v>13.25</v>
      </c>
      <c r="G62" s="335">
        <v>22.29</v>
      </c>
      <c r="H62" s="336"/>
      <c r="I62" s="336"/>
      <c r="J62" s="336"/>
      <c r="K62" s="356"/>
      <c r="L62" s="336"/>
      <c r="M62" s="336"/>
      <c r="N62" s="336"/>
      <c r="O62" s="336"/>
      <c r="R62" s="543"/>
    </row>
    <row r="63" spans="1:18" s="296" customFormat="1" ht="31.5" outlineLevel="1">
      <c r="A63" s="337">
        <v>36924</v>
      </c>
      <c r="B63" s="338" t="s">
        <v>179</v>
      </c>
      <c r="C63" s="339" t="s">
        <v>1022</v>
      </c>
      <c r="D63" s="340">
        <v>15.86</v>
      </c>
      <c r="E63" s="340">
        <v>17.61</v>
      </c>
      <c r="F63" s="340">
        <v>1.75</v>
      </c>
      <c r="G63" s="340">
        <v>11</v>
      </c>
      <c r="H63" s="357"/>
      <c r="I63" s="358"/>
      <c r="J63" s="357"/>
      <c r="K63" s="357"/>
      <c r="L63" s="357"/>
      <c r="M63" s="357"/>
      <c r="N63" s="357"/>
      <c r="O63" s="810"/>
      <c r="R63" s="543"/>
    </row>
    <row r="64" spans="1:18" s="296" customFormat="1" ht="31.5" outlineLevel="1">
      <c r="A64" s="306">
        <v>37289</v>
      </c>
      <c r="B64" s="326" t="s">
        <v>180</v>
      </c>
      <c r="C64" s="307" t="s">
        <v>1022</v>
      </c>
      <c r="D64" s="503">
        <v>41.44</v>
      </c>
      <c r="E64" s="503">
        <v>53.06</v>
      </c>
      <c r="F64" s="340">
        <v>11.62</v>
      </c>
      <c r="G64" s="340">
        <v>28.04</v>
      </c>
      <c r="H64" s="360"/>
      <c r="I64" s="835"/>
      <c r="J64" s="361"/>
      <c r="K64" s="360"/>
      <c r="L64" s="360"/>
      <c r="M64" s="360"/>
      <c r="N64" s="360"/>
      <c r="O64" s="810"/>
    </row>
    <row r="65" spans="1:18" s="296" customFormat="1" outlineLevel="1">
      <c r="A65" s="306">
        <v>37654</v>
      </c>
      <c r="B65" s="324" t="s">
        <v>181</v>
      </c>
      <c r="C65" s="307" t="s">
        <v>1022</v>
      </c>
      <c r="D65" s="327">
        <v>0</v>
      </c>
      <c r="E65" s="327">
        <v>0</v>
      </c>
      <c r="F65" s="327">
        <v>0</v>
      </c>
      <c r="G65" s="501" t="e">
        <v>#DIV/0!</v>
      </c>
      <c r="H65" s="820"/>
      <c r="I65" s="331"/>
      <c r="J65" s="310"/>
      <c r="K65" s="310"/>
      <c r="L65" s="310"/>
      <c r="M65" s="310"/>
      <c r="N65" s="310"/>
      <c r="O65" s="806"/>
    </row>
    <row r="66" spans="1:18" s="296" customFormat="1" outlineLevel="1">
      <c r="A66" s="306">
        <v>38019</v>
      </c>
      <c r="B66" s="324" t="s">
        <v>1109</v>
      </c>
      <c r="C66" s="307" t="s">
        <v>1022</v>
      </c>
      <c r="D66" s="327">
        <v>0</v>
      </c>
      <c r="E66" s="327">
        <v>0</v>
      </c>
      <c r="F66" s="327">
        <v>0</v>
      </c>
      <c r="G66" s="501" t="e">
        <v>#DIV/0!</v>
      </c>
      <c r="H66" s="820"/>
      <c r="I66" s="331"/>
      <c r="J66" s="310"/>
      <c r="K66" s="310"/>
      <c r="L66" s="310"/>
      <c r="M66" s="310"/>
      <c r="N66" s="310"/>
      <c r="O66" s="806"/>
    </row>
    <row r="67" spans="1:18" s="296" customFormat="1" ht="16.5" outlineLevel="1" thickBot="1">
      <c r="A67" s="821">
        <v>38385</v>
      </c>
      <c r="B67" s="832" t="s">
        <v>183</v>
      </c>
      <c r="C67" s="823" t="s">
        <v>1022</v>
      </c>
      <c r="D67" s="824">
        <v>2.12</v>
      </c>
      <c r="E67" s="824">
        <v>2</v>
      </c>
      <c r="F67" s="824">
        <v>-0.12</v>
      </c>
      <c r="G67" s="824">
        <v>-5.64</v>
      </c>
      <c r="H67" s="836"/>
      <c r="I67" s="836"/>
      <c r="J67" s="837"/>
      <c r="K67" s="837"/>
      <c r="L67" s="837"/>
      <c r="M67" s="837"/>
      <c r="N67" s="837"/>
      <c r="O67" s="810"/>
    </row>
    <row r="68" spans="1:18" s="296" customFormat="1" ht="16.5" outlineLevel="1" thickBot="1">
      <c r="A68" s="332" t="s">
        <v>184</v>
      </c>
      <c r="B68" s="333" t="s">
        <v>185</v>
      </c>
      <c r="C68" s="334" t="s">
        <v>1022</v>
      </c>
      <c r="D68" s="362">
        <v>38.700000000000003</v>
      </c>
      <c r="E68" s="362">
        <v>42.1</v>
      </c>
      <c r="F68" s="362">
        <v>3.41</v>
      </c>
      <c r="G68" s="362">
        <v>8.8000000000000007</v>
      </c>
      <c r="H68" s="363"/>
      <c r="I68" s="363"/>
      <c r="J68" s="363"/>
      <c r="K68" s="364"/>
      <c r="L68" s="363"/>
      <c r="M68" s="363"/>
      <c r="N68" s="363"/>
      <c r="O68" s="363"/>
    </row>
    <row r="69" spans="1:18" s="296" customFormat="1" ht="16.5" outlineLevel="1" thickBot="1">
      <c r="A69" s="332" t="s">
        <v>186</v>
      </c>
      <c r="B69" s="333" t="s">
        <v>187</v>
      </c>
      <c r="C69" s="334" t="s">
        <v>1022</v>
      </c>
      <c r="D69" s="362">
        <v>6.47</v>
      </c>
      <c r="E69" s="362">
        <v>7.59</v>
      </c>
      <c r="F69" s="362">
        <v>1.1200000000000001</v>
      </c>
      <c r="G69" s="362">
        <v>17.309999999999999</v>
      </c>
      <c r="H69" s="363"/>
      <c r="I69" s="363"/>
      <c r="J69" s="365"/>
      <c r="K69" s="364"/>
      <c r="L69" s="363"/>
      <c r="M69" s="363"/>
      <c r="N69" s="363"/>
      <c r="O69" s="363"/>
    </row>
    <row r="70" spans="1:18" s="296" customFormat="1" ht="16.5" outlineLevel="1" thickBot="1">
      <c r="A70" s="332" t="s">
        <v>188</v>
      </c>
      <c r="B70" s="333" t="s">
        <v>189</v>
      </c>
      <c r="C70" s="334" t="s">
        <v>1022</v>
      </c>
      <c r="D70" s="335">
        <v>1.56</v>
      </c>
      <c r="E70" s="335">
        <v>1.37</v>
      </c>
      <c r="F70" s="335">
        <v>-0.2</v>
      </c>
      <c r="G70" s="335">
        <v>-12.66</v>
      </c>
      <c r="H70" s="336"/>
      <c r="I70" s="336"/>
      <c r="J70" s="336"/>
      <c r="K70" s="356"/>
      <c r="L70" s="336"/>
      <c r="M70" s="336"/>
      <c r="N70" s="336"/>
      <c r="O70" s="363"/>
    </row>
    <row r="71" spans="1:18" s="296" customFormat="1" outlineLevel="1">
      <c r="A71" s="306">
        <v>37013</v>
      </c>
      <c r="B71" s="324" t="s">
        <v>190</v>
      </c>
      <c r="C71" s="307" t="s">
        <v>1022</v>
      </c>
      <c r="D71" s="327">
        <v>1.44</v>
      </c>
      <c r="E71" s="327">
        <v>1.3</v>
      </c>
      <c r="F71" s="327">
        <v>-0.14000000000000001</v>
      </c>
      <c r="G71" s="327">
        <v>-10.02</v>
      </c>
      <c r="H71" s="329"/>
      <c r="I71" s="329"/>
      <c r="J71" s="329"/>
      <c r="K71" s="329"/>
      <c r="L71" s="329"/>
      <c r="M71" s="329"/>
      <c r="N71" s="329"/>
      <c r="O71" s="810"/>
    </row>
    <row r="72" spans="1:18" s="296" customFormat="1" ht="16.5" outlineLevel="1" thickBot="1">
      <c r="A72" s="306">
        <v>37378</v>
      </c>
      <c r="B72" s="324" t="s">
        <v>191</v>
      </c>
      <c r="C72" s="307" t="s">
        <v>1022</v>
      </c>
      <c r="D72" s="327">
        <v>0.12</v>
      </c>
      <c r="E72" s="327">
        <v>7.0000000000000007E-2</v>
      </c>
      <c r="F72" s="327">
        <v>-0.05</v>
      </c>
      <c r="G72" s="327">
        <v>-44.41</v>
      </c>
      <c r="H72" s="329"/>
      <c r="I72" s="329"/>
      <c r="J72" s="329"/>
      <c r="K72" s="329"/>
      <c r="L72" s="329"/>
      <c r="M72" s="329"/>
      <c r="N72" s="329"/>
      <c r="O72" s="810"/>
    </row>
    <row r="73" spans="1:18" s="296" customFormat="1" ht="16.5" outlineLevel="1" thickBot="1">
      <c r="A73" s="332" t="s">
        <v>192</v>
      </c>
      <c r="B73" s="333" t="s">
        <v>193</v>
      </c>
      <c r="C73" s="334" t="s">
        <v>1022</v>
      </c>
      <c r="D73" s="335">
        <v>27.15</v>
      </c>
      <c r="E73" s="335">
        <v>29.14</v>
      </c>
      <c r="F73" s="335">
        <v>1.99</v>
      </c>
      <c r="G73" s="335">
        <v>7.32</v>
      </c>
      <c r="H73" s="336"/>
      <c r="I73" s="336"/>
      <c r="J73" s="336"/>
      <c r="K73" s="356"/>
      <c r="L73" s="336"/>
      <c r="M73" s="336"/>
      <c r="N73" s="336"/>
      <c r="O73" s="336"/>
    </row>
    <row r="74" spans="1:18" s="296" customFormat="1" outlineLevel="1">
      <c r="A74" s="306">
        <v>37044</v>
      </c>
      <c r="B74" s="324" t="s">
        <v>194</v>
      </c>
      <c r="C74" s="307" t="s">
        <v>1022</v>
      </c>
      <c r="D74" s="327">
        <v>1.8</v>
      </c>
      <c r="E74" s="327">
        <v>1.47</v>
      </c>
      <c r="F74" s="327">
        <v>-0.33</v>
      </c>
      <c r="G74" s="327">
        <v>-18.37</v>
      </c>
      <c r="H74" s="329"/>
      <c r="I74" s="329"/>
      <c r="J74" s="329"/>
      <c r="K74" s="329"/>
      <c r="L74" s="329"/>
      <c r="M74" s="329"/>
      <c r="N74" s="329"/>
      <c r="O74" s="810"/>
    </row>
    <row r="75" spans="1:18" s="296" customFormat="1" ht="15.75" customHeight="1" outlineLevel="1">
      <c r="A75" s="306">
        <v>37409</v>
      </c>
      <c r="B75" s="324" t="s">
        <v>195</v>
      </c>
      <c r="C75" s="307" t="s">
        <v>1022</v>
      </c>
      <c r="D75" s="327">
        <v>11.26</v>
      </c>
      <c r="E75" s="327">
        <v>16.72</v>
      </c>
      <c r="F75" s="327">
        <v>5.46</v>
      </c>
      <c r="G75" s="327">
        <v>48.45</v>
      </c>
      <c r="H75" s="329"/>
      <c r="I75" s="329"/>
      <c r="J75" s="329"/>
      <c r="K75" s="329"/>
      <c r="L75" s="329"/>
      <c r="M75" s="329"/>
      <c r="N75" s="329"/>
      <c r="O75" s="810"/>
    </row>
    <row r="76" spans="1:18" s="296" customFormat="1" ht="16.5" outlineLevel="1" thickBot="1">
      <c r="A76" s="821">
        <v>37774</v>
      </c>
      <c r="B76" s="832" t="s">
        <v>196</v>
      </c>
      <c r="C76" s="823" t="s">
        <v>1022</v>
      </c>
      <c r="D76" s="824">
        <v>14.09</v>
      </c>
      <c r="E76" s="824">
        <v>10.95</v>
      </c>
      <c r="F76" s="327">
        <v>-3.14</v>
      </c>
      <c r="G76" s="327">
        <v>-22.27</v>
      </c>
      <c r="H76" s="838"/>
      <c r="I76" s="838"/>
      <c r="J76" s="839"/>
      <c r="K76" s="837"/>
      <c r="L76" s="838"/>
      <c r="M76" s="838"/>
      <c r="N76" s="838"/>
      <c r="O76" s="810"/>
      <c r="R76" s="543"/>
    </row>
    <row r="77" spans="1:18" s="296" customFormat="1" ht="16.5" outlineLevel="1" thickBot="1">
      <c r="A77" s="332" t="s">
        <v>197</v>
      </c>
      <c r="B77" s="333" t="s">
        <v>198</v>
      </c>
      <c r="C77" s="334" t="s">
        <v>1022</v>
      </c>
      <c r="D77" s="335">
        <v>8.51</v>
      </c>
      <c r="E77" s="335">
        <v>14.43</v>
      </c>
      <c r="F77" s="335">
        <v>5.91</v>
      </c>
      <c r="G77" s="335">
        <v>69.47</v>
      </c>
      <c r="H77" s="336"/>
      <c r="I77" s="336"/>
      <c r="J77" s="336"/>
      <c r="K77" s="356"/>
      <c r="L77" s="336"/>
      <c r="M77" s="336"/>
      <c r="N77" s="336"/>
      <c r="O77" s="336"/>
      <c r="R77" s="543"/>
    </row>
    <row r="78" spans="1:18" s="296" customFormat="1" outlineLevel="1">
      <c r="A78" s="306">
        <v>37074</v>
      </c>
      <c r="B78" s="324" t="s">
        <v>199</v>
      </c>
      <c r="C78" s="307" t="s">
        <v>1022</v>
      </c>
      <c r="D78" s="327">
        <v>6.22</v>
      </c>
      <c r="E78" s="327">
        <v>5.76</v>
      </c>
      <c r="F78" s="327">
        <v>-0.46</v>
      </c>
      <c r="G78" s="327">
        <v>-7.34</v>
      </c>
      <c r="H78" s="330"/>
      <c r="I78" s="330"/>
      <c r="J78" s="330"/>
      <c r="K78" s="330"/>
      <c r="L78" s="330"/>
      <c r="M78" s="330"/>
      <c r="N78" s="330"/>
      <c r="O78" s="840"/>
      <c r="R78" s="543"/>
    </row>
    <row r="79" spans="1:18" s="296" customFormat="1" outlineLevel="1">
      <c r="A79" s="306">
        <v>37439</v>
      </c>
      <c r="B79" s="324" t="s">
        <v>200</v>
      </c>
      <c r="C79" s="307" t="s">
        <v>1022</v>
      </c>
      <c r="D79" s="327">
        <v>0</v>
      </c>
      <c r="E79" s="327">
        <v>0</v>
      </c>
      <c r="F79" s="327">
        <v>0</v>
      </c>
      <c r="G79" s="327" t="e">
        <v>#DIV/0!</v>
      </c>
      <c r="H79" s="310"/>
      <c r="I79" s="841"/>
      <c r="J79" s="330"/>
      <c r="K79" s="310"/>
      <c r="L79" s="310"/>
      <c r="M79" s="310"/>
      <c r="N79" s="310"/>
      <c r="O79" s="806"/>
      <c r="R79" s="543"/>
    </row>
    <row r="80" spans="1:18" s="296" customFormat="1" ht="16.5" outlineLevel="1" thickBot="1">
      <c r="A80" s="367">
        <v>37804</v>
      </c>
      <c r="B80" s="368" t="s">
        <v>201</v>
      </c>
      <c r="C80" s="369" t="s">
        <v>1022</v>
      </c>
      <c r="D80" s="370">
        <v>2.29</v>
      </c>
      <c r="E80" s="370">
        <v>8.66</v>
      </c>
      <c r="F80" s="327">
        <v>6.37</v>
      </c>
      <c r="G80" s="327">
        <v>277.69</v>
      </c>
      <c r="H80" s="371"/>
      <c r="I80" s="371"/>
      <c r="J80" s="371"/>
      <c r="K80" s="371"/>
      <c r="L80" s="371"/>
      <c r="M80" s="371"/>
      <c r="N80" s="842"/>
      <c r="O80" s="840"/>
      <c r="R80" s="543"/>
    </row>
    <row r="81" spans="1:18" s="296" customFormat="1" ht="16.5" thickBot="1">
      <c r="A81" s="297" t="s">
        <v>202</v>
      </c>
      <c r="B81" s="298" t="s">
        <v>1110</v>
      </c>
      <c r="C81" s="299" t="s">
        <v>1022</v>
      </c>
      <c r="D81" s="300">
        <v>14.39</v>
      </c>
      <c r="E81" s="301">
        <v>21.34</v>
      </c>
      <c r="F81" s="300">
        <v>6.95</v>
      </c>
      <c r="G81" s="301">
        <v>48.25</v>
      </c>
      <c r="H81" s="302"/>
      <c r="I81" s="303"/>
      <c r="J81" s="304"/>
      <c r="K81" s="304"/>
      <c r="L81" s="304"/>
      <c r="M81" s="305"/>
      <c r="N81" s="304"/>
      <c r="O81" s="804"/>
      <c r="R81" s="543"/>
    </row>
    <row r="82" spans="1:18" s="296" customFormat="1" outlineLevel="1">
      <c r="A82" s="306">
        <v>43468</v>
      </c>
      <c r="B82" s="314" t="s">
        <v>1107</v>
      </c>
      <c r="C82" s="307" t="s">
        <v>1022</v>
      </c>
      <c r="D82" s="323">
        <v>0</v>
      </c>
      <c r="E82" s="323">
        <v>0</v>
      </c>
      <c r="F82" s="323">
        <v>0</v>
      </c>
      <c r="G82" s="323" t="e">
        <v>#DIV/0!</v>
      </c>
      <c r="H82" s="309"/>
      <c r="I82" s="805"/>
      <c r="J82" s="309"/>
      <c r="K82" s="309"/>
      <c r="L82" s="309"/>
      <c r="M82" s="309"/>
      <c r="N82" s="309"/>
      <c r="O82" s="806"/>
      <c r="R82" s="543"/>
    </row>
    <row r="83" spans="1:18" s="296" customFormat="1" ht="31.5" outlineLevel="1">
      <c r="A83" s="306">
        <v>36894</v>
      </c>
      <c r="B83" s="326" t="s">
        <v>148</v>
      </c>
      <c r="C83" s="307" t="s">
        <v>1022</v>
      </c>
      <c r="D83" s="327">
        <v>0</v>
      </c>
      <c r="E83" s="327">
        <v>0</v>
      </c>
      <c r="F83" s="323">
        <v>0</v>
      </c>
      <c r="G83" s="323" t="e">
        <v>#DIV/0!</v>
      </c>
      <c r="H83" s="310"/>
      <c r="I83" s="820"/>
      <c r="J83" s="310"/>
      <c r="K83" s="310"/>
      <c r="L83" s="310"/>
      <c r="M83" s="310"/>
      <c r="N83" s="310"/>
      <c r="O83" s="806"/>
      <c r="R83" s="543"/>
    </row>
    <row r="84" spans="1:18" s="296" customFormat="1" ht="31.5" outlineLevel="1">
      <c r="A84" s="306">
        <v>37259</v>
      </c>
      <c r="B84" s="326" t="s">
        <v>149</v>
      </c>
      <c r="C84" s="307" t="s">
        <v>1022</v>
      </c>
      <c r="D84" s="327">
        <v>0</v>
      </c>
      <c r="E84" s="327">
        <v>0</v>
      </c>
      <c r="F84" s="323">
        <v>0</v>
      </c>
      <c r="G84" s="323" t="e">
        <v>#DIV/0!</v>
      </c>
      <c r="H84" s="310"/>
      <c r="I84" s="820"/>
      <c r="J84" s="310"/>
      <c r="K84" s="310"/>
      <c r="L84" s="310"/>
      <c r="M84" s="310"/>
      <c r="N84" s="310"/>
      <c r="O84" s="806"/>
      <c r="R84" s="543"/>
    </row>
    <row r="85" spans="1:18" s="296" customFormat="1" ht="31.5" outlineLevel="1">
      <c r="A85" s="306">
        <v>37624</v>
      </c>
      <c r="B85" s="326" t="s">
        <v>150</v>
      </c>
      <c r="C85" s="307" t="s">
        <v>1022</v>
      </c>
      <c r="D85" s="327">
        <v>0</v>
      </c>
      <c r="E85" s="327">
        <v>0</v>
      </c>
      <c r="F85" s="323">
        <v>0</v>
      </c>
      <c r="G85" s="323" t="e">
        <v>#DIV/0!</v>
      </c>
      <c r="H85" s="310"/>
      <c r="I85" s="820"/>
      <c r="J85" s="310"/>
      <c r="K85" s="310"/>
      <c r="L85" s="310"/>
      <c r="M85" s="310"/>
      <c r="N85" s="310"/>
      <c r="O85" s="806"/>
      <c r="R85" s="543"/>
    </row>
    <row r="86" spans="1:18" s="296" customFormat="1" outlineLevel="1">
      <c r="A86" s="306">
        <v>43499</v>
      </c>
      <c r="B86" s="314" t="s">
        <v>151</v>
      </c>
      <c r="C86" s="307" t="s">
        <v>1022</v>
      </c>
      <c r="D86" s="327">
        <v>0</v>
      </c>
      <c r="E86" s="327">
        <v>0</v>
      </c>
      <c r="F86" s="323">
        <v>0</v>
      </c>
      <c r="G86" s="323" t="e">
        <v>#DIV/0!</v>
      </c>
      <c r="H86" s="310"/>
      <c r="I86" s="820"/>
      <c r="J86" s="310"/>
      <c r="K86" s="310"/>
      <c r="L86" s="310"/>
      <c r="M86" s="310"/>
      <c r="N86" s="310"/>
      <c r="O86" s="806"/>
      <c r="R86" s="543"/>
    </row>
    <row r="87" spans="1:18" s="296" customFormat="1" outlineLevel="1">
      <c r="A87" s="315">
        <v>43527</v>
      </c>
      <c r="B87" s="316" t="s">
        <v>152</v>
      </c>
      <c r="C87" s="317" t="s">
        <v>1022</v>
      </c>
      <c r="D87" s="372">
        <v>14.24</v>
      </c>
      <c r="E87" s="372">
        <v>21.93</v>
      </c>
      <c r="F87" s="372">
        <v>7.69</v>
      </c>
      <c r="G87" s="372">
        <v>53.97</v>
      </c>
      <c r="H87" s="321"/>
      <c r="I87" s="321"/>
      <c r="J87" s="321"/>
      <c r="K87" s="321"/>
      <c r="L87" s="321"/>
      <c r="M87" s="321"/>
      <c r="N87" s="321"/>
      <c r="O87" s="843"/>
      <c r="R87" s="543"/>
    </row>
    <row r="88" spans="1:18" s="296" customFormat="1" outlineLevel="1">
      <c r="A88" s="306">
        <v>43558</v>
      </c>
      <c r="B88" s="314" t="s">
        <v>153</v>
      </c>
      <c r="C88" s="307" t="s">
        <v>1022</v>
      </c>
      <c r="D88" s="327">
        <v>0</v>
      </c>
      <c r="E88" s="327">
        <v>0</v>
      </c>
      <c r="F88" s="327">
        <v>0</v>
      </c>
      <c r="G88" s="327" t="e">
        <v>#DIV/0!</v>
      </c>
      <c r="H88" s="310"/>
      <c r="I88" s="820"/>
      <c r="J88" s="310"/>
      <c r="K88" s="310"/>
      <c r="L88" s="310"/>
      <c r="M88" s="310"/>
      <c r="N88" s="310"/>
      <c r="O88" s="806"/>
      <c r="R88" s="543"/>
    </row>
    <row r="89" spans="1:18" s="296" customFormat="1" outlineLevel="1">
      <c r="A89" s="315">
        <v>43588</v>
      </c>
      <c r="B89" s="316" t="s">
        <v>154</v>
      </c>
      <c r="C89" s="317" t="s">
        <v>1022</v>
      </c>
      <c r="D89" s="372">
        <v>0.15</v>
      </c>
      <c r="E89" s="372">
        <v>-0.59</v>
      </c>
      <c r="F89" s="372">
        <v>0.18</v>
      </c>
      <c r="G89" s="372">
        <v>52.09</v>
      </c>
      <c r="H89" s="321"/>
      <c r="I89" s="321"/>
      <c r="J89" s="321"/>
      <c r="K89" s="321"/>
      <c r="L89" s="321"/>
      <c r="M89" s="321"/>
      <c r="N89" s="321"/>
      <c r="O89" s="843"/>
      <c r="R89" s="543"/>
    </row>
    <row r="90" spans="1:18" s="296" customFormat="1" outlineLevel="1">
      <c r="A90" s="315">
        <v>43619</v>
      </c>
      <c r="B90" s="316" t="s">
        <v>155</v>
      </c>
      <c r="C90" s="317" t="s">
        <v>1022</v>
      </c>
      <c r="D90" s="328">
        <v>0</v>
      </c>
      <c r="E90" s="372">
        <v>0</v>
      </c>
      <c r="F90" s="328">
        <v>0</v>
      </c>
      <c r="G90" s="372" t="e">
        <v>#DIV/0!</v>
      </c>
      <c r="H90" s="373"/>
      <c r="I90" s="844"/>
      <c r="J90" s="373"/>
      <c r="K90" s="373"/>
      <c r="L90" s="373"/>
      <c r="M90" s="373"/>
      <c r="N90" s="373"/>
      <c r="O90" s="845"/>
      <c r="R90" s="543"/>
    </row>
    <row r="91" spans="1:18" s="296" customFormat="1" outlineLevel="1">
      <c r="A91" s="306">
        <v>43649</v>
      </c>
      <c r="B91" s="314" t="s">
        <v>156</v>
      </c>
      <c r="C91" s="307" t="s">
        <v>1022</v>
      </c>
      <c r="D91" s="327">
        <v>0</v>
      </c>
      <c r="E91" s="327">
        <v>0</v>
      </c>
      <c r="F91" s="327">
        <v>0</v>
      </c>
      <c r="G91" s="327" t="e">
        <v>#DIV/0!</v>
      </c>
      <c r="H91" s="310"/>
      <c r="I91" s="820"/>
      <c r="J91" s="310"/>
      <c r="K91" s="310"/>
      <c r="L91" s="310"/>
      <c r="M91" s="310"/>
      <c r="N91" s="310"/>
      <c r="O91" s="806"/>
      <c r="R91" s="543"/>
    </row>
    <row r="92" spans="1:18" s="296" customFormat="1" ht="31.5" outlineLevel="1">
      <c r="A92" s="306">
        <v>43680</v>
      </c>
      <c r="B92" s="311" t="s">
        <v>157</v>
      </c>
      <c r="C92" s="307" t="s">
        <v>1022</v>
      </c>
      <c r="D92" s="323">
        <v>0</v>
      </c>
      <c r="E92" s="323">
        <v>0</v>
      </c>
      <c r="F92" s="327">
        <v>0</v>
      </c>
      <c r="G92" s="327" t="e">
        <v>#DIV/0!</v>
      </c>
      <c r="H92" s="309"/>
      <c r="I92" s="308"/>
      <c r="J92" s="309"/>
      <c r="K92" s="309"/>
      <c r="L92" s="309"/>
      <c r="M92" s="309"/>
      <c r="N92" s="309"/>
      <c r="O92" s="818"/>
      <c r="R92" s="543"/>
    </row>
    <row r="93" spans="1:18" s="296" customFormat="1" outlineLevel="1">
      <c r="A93" s="306">
        <v>37106</v>
      </c>
      <c r="B93" s="326" t="s">
        <v>1108</v>
      </c>
      <c r="C93" s="307" t="s">
        <v>1022</v>
      </c>
      <c r="D93" s="327">
        <v>0</v>
      </c>
      <c r="E93" s="327">
        <v>0</v>
      </c>
      <c r="F93" s="327">
        <v>0</v>
      </c>
      <c r="G93" s="327" t="e">
        <v>#DIV/0!</v>
      </c>
      <c r="H93" s="310"/>
      <c r="I93" s="820"/>
      <c r="J93" s="310"/>
      <c r="K93" s="310"/>
      <c r="L93" s="310"/>
      <c r="M93" s="310"/>
      <c r="N93" s="310"/>
      <c r="O93" s="806"/>
      <c r="R93" s="543"/>
    </row>
    <row r="94" spans="1:18" s="296" customFormat="1" outlineLevel="1">
      <c r="A94" s="306">
        <v>37471</v>
      </c>
      <c r="B94" s="324" t="s">
        <v>159</v>
      </c>
      <c r="C94" s="307" t="s">
        <v>1022</v>
      </c>
      <c r="D94" s="327">
        <v>0</v>
      </c>
      <c r="E94" s="327">
        <v>0</v>
      </c>
      <c r="F94" s="327">
        <v>0</v>
      </c>
      <c r="G94" s="327" t="e">
        <v>#DIV/0!</v>
      </c>
      <c r="H94" s="310"/>
      <c r="I94" s="820"/>
      <c r="J94" s="310"/>
      <c r="K94" s="310"/>
      <c r="L94" s="310"/>
      <c r="M94" s="310"/>
      <c r="N94" s="310"/>
      <c r="O94" s="806"/>
      <c r="R94" s="543"/>
    </row>
    <row r="95" spans="1:18" s="296" customFormat="1" ht="16.5" outlineLevel="1" thickBot="1">
      <c r="A95" s="315">
        <v>43711</v>
      </c>
      <c r="B95" s="316" t="s">
        <v>160</v>
      </c>
      <c r="C95" s="317" t="s">
        <v>1022</v>
      </c>
      <c r="D95" s="372">
        <v>0</v>
      </c>
      <c r="E95" s="372">
        <v>0</v>
      </c>
      <c r="F95" s="372">
        <v>0</v>
      </c>
      <c r="G95" s="372" t="e">
        <v>#DIV/0!</v>
      </c>
      <c r="H95" s="321"/>
      <c r="I95" s="321"/>
      <c r="J95" s="321"/>
      <c r="K95" s="321"/>
      <c r="L95" s="321"/>
      <c r="M95" s="321"/>
      <c r="N95" s="321"/>
      <c r="O95" s="843"/>
      <c r="R95" s="543"/>
    </row>
    <row r="96" spans="1:18" s="296" customFormat="1" ht="16.5" thickBot="1">
      <c r="A96" s="297" t="s">
        <v>204</v>
      </c>
      <c r="B96" s="298" t="s">
        <v>1111</v>
      </c>
      <c r="C96" s="299" t="s">
        <v>1022</v>
      </c>
      <c r="D96" s="300">
        <v>0</v>
      </c>
      <c r="E96" s="300">
        <v>-7.48</v>
      </c>
      <c r="F96" s="300">
        <v>-7.48</v>
      </c>
      <c r="G96" s="300" t="e">
        <v>#DIV/0!</v>
      </c>
      <c r="H96" s="302"/>
      <c r="I96" s="302"/>
      <c r="J96" s="304"/>
      <c r="K96" s="304"/>
      <c r="L96" s="305"/>
      <c r="M96" s="304"/>
      <c r="N96" s="305"/>
      <c r="O96" s="304"/>
      <c r="R96" s="543"/>
    </row>
    <row r="97" spans="1:18" s="296" customFormat="1" outlineLevel="1">
      <c r="A97" s="306">
        <v>43469</v>
      </c>
      <c r="B97" s="311" t="s">
        <v>206</v>
      </c>
      <c r="C97" s="307" t="s">
        <v>1022</v>
      </c>
      <c r="D97" s="323">
        <v>0</v>
      </c>
      <c r="E97" s="323">
        <v>2.14</v>
      </c>
      <c r="F97" s="323">
        <v>2.14</v>
      </c>
      <c r="G97" s="323" t="e">
        <v>#DIV/0!</v>
      </c>
      <c r="H97" s="309"/>
      <c r="I97" s="309"/>
      <c r="J97" s="309"/>
      <c r="K97" s="309"/>
      <c r="L97" s="309"/>
      <c r="M97" s="309"/>
      <c r="N97" s="309"/>
      <c r="O97" s="818"/>
      <c r="R97" s="543"/>
    </row>
    <row r="98" spans="1:18" s="296" customFormat="1" outlineLevel="1">
      <c r="A98" s="306">
        <v>36895</v>
      </c>
      <c r="B98" s="326" t="s">
        <v>207</v>
      </c>
      <c r="C98" s="307" t="s">
        <v>1022</v>
      </c>
      <c r="D98" s="327">
        <v>0</v>
      </c>
      <c r="E98" s="327">
        <v>0</v>
      </c>
      <c r="F98" s="323">
        <v>0</v>
      </c>
      <c r="G98" s="323" t="e">
        <v>#DIV/0!</v>
      </c>
      <c r="H98" s="310"/>
      <c r="I98" s="820"/>
      <c r="J98" s="310"/>
      <c r="K98" s="310"/>
      <c r="L98" s="310"/>
      <c r="M98" s="310"/>
      <c r="N98" s="310"/>
      <c r="O98" s="806"/>
      <c r="R98" s="543"/>
    </row>
    <row r="99" spans="1:18" s="296" customFormat="1" outlineLevel="1">
      <c r="A99" s="306">
        <v>37260</v>
      </c>
      <c r="B99" s="326" t="s">
        <v>208</v>
      </c>
      <c r="C99" s="307" t="s">
        <v>1022</v>
      </c>
      <c r="D99" s="327">
        <v>0</v>
      </c>
      <c r="E99" s="327">
        <v>0</v>
      </c>
      <c r="F99" s="323">
        <v>0</v>
      </c>
      <c r="G99" s="323" t="e">
        <v>#DIV/0!</v>
      </c>
      <c r="H99" s="310"/>
      <c r="I99" s="820"/>
      <c r="J99" s="310"/>
      <c r="K99" s="310"/>
      <c r="L99" s="310"/>
      <c r="M99" s="310"/>
      <c r="N99" s="310"/>
      <c r="O99" s="806"/>
      <c r="R99" s="543"/>
    </row>
    <row r="100" spans="1:18" s="296" customFormat="1" outlineLevel="1">
      <c r="A100" s="306">
        <v>37625</v>
      </c>
      <c r="B100" s="326" t="s">
        <v>209</v>
      </c>
      <c r="C100" s="307" t="s">
        <v>1022</v>
      </c>
      <c r="D100" s="323">
        <v>0</v>
      </c>
      <c r="E100" s="323">
        <v>0</v>
      </c>
      <c r="F100" s="323">
        <v>0</v>
      </c>
      <c r="G100" s="323" t="e">
        <v>#DIV/0!</v>
      </c>
      <c r="H100" s="309"/>
      <c r="I100" s="309"/>
      <c r="J100" s="309"/>
      <c r="K100" s="309"/>
      <c r="L100" s="309"/>
      <c r="M100" s="309"/>
      <c r="N100" s="309"/>
      <c r="O100" s="806"/>
      <c r="R100" s="543"/>
    </row>
    <row r="101" spans="1:18" s="296" customFormat="1" outlineLevel="1">
      <c r="A101" s="306" t="s">
        <v>210</v>
      </c>
      <c r="B101" s="344" t="s">
        <v>211</v>
      </c>
      <c r="C101" s="307" t="s">
        <v>1022</v>
      </c>
      <c r="D101" s="327">
        <v>0</v>
      </c>
      <c r="E101" s="327">
        <v>0</v>
      </c>
      <c r="F101" s="323">
        <v>0</v>
      </c>
      <c r="G101" s="323" t="e">
        <v>#DIV/0!</v>
      </c>
      <c r="H101" s="310"/>
      <c r="I101" s="820"/>
      <c r="J101" s="310"/>
      <c r="K101" s="310"/>
      <c r="L101" s="310"/>
      <c r="M101" s="310"/>
      <c r="N101" s="310"/>
      <c r="O101" s="806"/>
      <c r="R101" s="543"/>
    </row>
    <row r="102" spans="1:18" s="296" customFormat="1" outlineLevel="1">
      <c r="A102" s="315">
        <v>37990</v>
      </c>
      <c r="B102" s="352" t="s">
        <v>212</v>
      </c>
      <c r="C102" s="317" t="s">
        <v>1022</v>
      </c>
      <c r="D102" s="328">
        <v>0</v>
      </c>
      <c r="E102" s="328">
        <v>2.14</v>
      </c>
      <c r="F102" s="328">
        <v>2.14</v>
      </c>
      <c r="G102" s="328" t="e">
        <v>#DIV/0!</v>
      </c>
      <c r="H102" s="373"/>
      <c r="I102" s="846"/>
      <c r="J102" s="329"/>
      <c r="K102" s="329"/>
      <c r="L102" s="373"/>
      <c r="M102" s="373"/>
      <c r="N102" s="373"/>
      <c r="O102" s="847"/>
      <c r="R102" s="543"/>
    </row>
    <row r="103" spans="1:18" s="296" customFormat="1" outlineLevel="1">
      <c r="A103" s="306">
        <v>43500</v>
      </c>
      <c r="B103" s="374" t="s">
        <v>193</v>
      </c>
      <c r="C103" s="307" t="s">
        <v>1022</v>
      </c>
      <c r="D103" s="323">
        <v>0</v>
      </c>
      <c r="E103" s="323">
        <v>9.6300000000000008</v>
      </c>
      <c r="F103" s="323">
        <v>9.6300000000000008</v>
      </c>
      <c r="G103" s="323" t="e">
        <v>#DIV/0!</v>
      </c>
      <c r="H103" s="309"/>
      <c r="I103" s="309"/>
      <c r="J103" s="309"/>
      <c r="K103" s="309"/>
      <c r="L103" s="309"/>
      <c r="M103" s="309"/>
      <c r="N103" s="309"/>
      <c r="O103" s="818"/>
      <c r="R103" s="543"/>
    </row>
    <row r="104" spans="1:18" s="296" customFormat="1" outlineLevel="1">
      <c r="A104" s="306">
        <v>36926</v>
      </c>
      <c r="B104" s="324" t="s">
        <v>213</v>
      </c>
      <c r="C104" s="307" t="s">
        <v>1022</v>
      </c>
      <c r="D104" s="327">
        <v>0</v>
      </c>
      <c r="E104" s="327">
        <v>0</v>
      </c>
      <c r="F104" s="323">
        <v>0</v>
      </c>
      <c r="G104" s="323" t="e">
        <v>#DIV/0!</v>
      </c>
      <c r="H104" s="310"/>
      <c r="I104" s="820"/>
      <c r="J104" s="310"/>
      <c r="K104" s="310"/>
      <c r="L104" s="310"/>
      <c r="M104" s="310"/>
      <c r="N104" s="310"/>
      <c r="O104" s="806"/>
      <c r="R104" s="543"/>
    </row>
    <row r="105" spans="1:18" s="296" customFormat="1" outlineLevel="1">
      <c r="A105" s="306">
        <v>37291</v>
      </c>
      <c r="B105" s="324" t="s">
        <v>214</v>
      </c>
      <c r="C105" s="307" t="s">
        <v>1022</v>
      </c>
      <c r="D105" s="327">
        <v>0</v>
      </c>
      <c r="E105" s="327">
        <v>0</v>
      </c>
      <c r="F105" s="323">
        <v>0</v>
      </c>
      <c r="G105" s="323" t="e">
        <v>#DIV/0!</v>
      </c>
      <c r="H105" s="330"/>
      <c r="I105" s="848"/>
      <c r="J105" s="330"/>
      <c r="K105" s="330"/>
      <c r="L105" s="330"/>
      <c r="M105" s="330"/>
      <c r="N105" s="330"/>
      <c r="O105" s="849"/>
      <c r="R105" s="543"/>
    </row>
    <row r="106" spans="1:18" s="296" customFormat="1" outlineLevel="1">
      <c r="A106" s="306">
        <v>37656</v>
      </c>
      <c r="B106" s="324" t="s">
        <v>215</v>
      </c>
      <c r="C106" s="307" t="s">
        <v>1022</v>
      </c>
      <c r="D106" s="323">
        <v>0</v>
      </c>
      <c r="E106" s="323">
        <v>0</v>
      </c>
      <c r="F106" s="323">
        <v>0</v>
      </c>
      <c r="G106" s="323" t="e">
        <v>#DIV/0!</v>
      </c>
      <c r="H106" s="309"/>
      <c r="I106" s="309"/>
      <c r="J106" s="309"/>
      <c r="K106" s="309"/>
      <c r="L106" s="309"/>
      <c r="M106" s="309"/>
      <c r="N106" s="309"/>
      <c r="O106" s="818"/>
      <c r="R106" s="543"/>
    </row>
    <row r="107" spans="1:18" s="296" customFormat="1" outlineLevel="1">
      <c r="A107" s="306" t="s">
        <v>216</v>
      </c>
      <c r="B107" s="344" t="s">
        <v>1112</v>
      </c>
      <c r="C107" s="307" t="s">
        <v>1022</v>
      </c>
      <c r="D107" s="327">
        <v>0</v>
      </c>
      <c r="E107" s="327">
        <v>0</v>
      </c>
      <c r="F107" s="323">
        <v>0</v>
      </c>
      <c r="G107" s="323" t="e">
        <v>#DIV/0!</v>
      </c>
      <c r="H107" s="310"/>
      <c r="I107" s="820"/>
      <c r="J107" s="310"/>
      <c r="K107" s="310"/>
      <c r="L107" s="310"/>
      <c r="M107" s="310"/>
      <c r="N107" s="310"/>
      <c r="O107" s="806"/>
      <c r="R107" s="543"/>
    </row>
    <row r="108" spans="1:18" s="296" customFormat="1" ht="16.5" outlineLevel="1" thickBot="1">
      <c r="A108" s="315">
        <v>38021</v>
      </c>
      <c r="B108" s="352" t="s">
        <v>217</v>
      </c>
      <c r="C108" s="317" t="s">
        <v>1022</v>
      </c>
      <c r="D108" s="328">
        <v>0</v>
      </c>
      <c r="E108" s="328">
        <v>9.6300000000000008</v>
      </c>
      <c r="F108" s="328">
        <v>9.6300000000000008</v>
      </c>
      <c r="G108" s="328" t="e">
        <v>#DIV/0!</v>
      </c>
      <c r="H108" s="329"/>
      <c r="I108" s="846"/>
      <c r="J108" s="329"/>
      <c r="K108" s="329"/>
      <c r="L108" s="329"/>
      <c r="M108" s="329"/>
      <c r="N108" s="329"/>
      <c r="O108" s="847"/>
      <c r="R108" s="543"/>
    </row>
    <row r="109" spans="1:18" s="296" customFormat="1" ht="32.25" thickBot="1">
      <c r="A109" s="297" t="s">
        <v>218</v>
      </c>
      <c r="B109" s="298" t="s">
        <v>1113</v>
      </c>
      <c r="C109" s="299" t="s">
        <v>1022</v>
      </c>
      <c r="D109" s="300">
        <v>14.39</v>
      </c>
      <c r="E109" s="301">
        <v>13.86</v>
      </c>
      <c r="F109" s="300">
        <v>-0.54</v>
      </c>
      <c r="G109" s="301">
        <v>-3.74</v>
      </c>
      <c r="H109" s="303"/>
      <c r="I109" s="302"/>
      <c r="J109" s="304"/>
      <c r="K109" s="304"/>
      <c r="L109" s="305"/>
      <c r="M109" s="304"/>
      <c r="N109" s="304"/>
      <c r="O109" s="804"/>
      <c r="R109" s="543"/>
    </row>
    <row r="110" spans="1:18" s="296" customFormat="1" ht="31.5" outlineLevel="2">
      <c r="A110" s="306">
        <v>43470</v>
      </c>
      <c r="B110" s="311" t="s">
        <v>220</v>
      </c>
      <c r="C110" s="307" t="s">
        <v>1022</v>
      </c>
      <c r="D110" s="323">
        <v>0</v>
      </c>
      <c r="E110" s="323">
        <v>0</v>
      </c>
      <c r="F110" s="323">
        <v>0</v>
      </c>
      <c r="G110" s="323" t="e">
        <v>#DIV/0!</v>
      </c>
      <c r="H110" s="309"/>
      <c r="I110" s="309"/>
      <c r="J110" s="309"/>
      <c r="K110" s="309"/>
      <c r="L110" s="309"/>
      <c r="M110" s="309"/>
      <c r="N110" s="309"/>
      <c r="O110" s="806"/>
      <c r="R110" s="543"/>
    </row>
    <row r="111" spans="1:18" s="296" customFormat="1" ht="31.5" outlineLevel="2">
      <c r="A111" s="306">
        <v>36896</v>
      </c>
      <c r="B111" s="326" t="s">
        <v>148</v>
      </c>
      <c r="C111" s="307" t="s">
        <v>1022</v>
      </c>
      <c r="D111" s="327">
        <v>0</v>
      </c>
      <c r="E111" s="327">
        <v>0</v>
      </c>
      <c r="F111" s="323">
        <v>0</v>
      </c>
      <c r="G111" s="323" t="e">
        <v>#DIV/0!</v>
      </c>
      <c r="H111" s="310"/>
      <c r="I111" s="820"/>
      <c r="J111" s="310"/>
      <c r="K111" s="310"/>
      <c r="L111" s="310"/>
      <c r="M111" s="310"/>
      <c r="N111" s="310"/>
      <c r="O111" s="806"/>
      <c r="R111" s="543"/>
    </row>
    <row r="112" spans="1:18" s="296" customFormat="1" ht="31.5" outlineLevel="2">
      <c r="A112" s="306">
        <v>37261</v>
      </c>
      <c r="B112" s="326" t="s">
        <v>149</v>
      </c>
      <c r="C112" s="307" t="s">
        <v>1022</v>
      </c>
      <c r="D112" s="327">
        <v>0</v>
      </c>
      <c r="E112" s="327">
        <v>0</v>
      </c>
      <c r="F112" s="323">
        <v>0</v>
      </c>
      <c r="G112" s="323" t="e">
        <v>#DIV/0!</v>
      </c>
      <c r="H112" s="310"/>
      <c r="I112" s="820"/>
      <c r="J112" s="310"/>
      <c r="K112" s="310"/>
      <c r="L112" s="310"/>
      <c r="M112" s="310"/>
      <c r="N112" s="310"/>
      <c r="O112" s="806"/>
      <c r="R112" s="543"/>
    </row>
    <row r="113" spans="1:18" s="296" customFormat="1" ht="31.5" outlineLevel="2">
      <c r="A113" s="306">
        <v>37626</v>
      </c>
      <c r="B113" s="326" t="s">
        <v>150</v>
      </c>
      <c r="C113" s="307" t="s">
        <v>1022</v>
      </c>
      <c r="D113" s="327">
        <v>0</v>
      </c>
      <c r="E113" s="327">
        <v>0</v>
      </c>
      <c r="F113" s="323">
        <v>0</v>
      </c>
      <c r="G113" s="323" t="e">
        <v>#DIV/0!</v>
      </c>
      <c r="H113" s="310"/>
      <c r="I113" s="820"/>
      <c r="J113" s="310"/>
      <c r="K113" s="310"/>
      <c r="L113" s="310"/>
      <c r="M113" s="310"/>
      <c r="N113" s="310"/>
      <c r="O113" s="806"/>
      <c r="R113" s="543"/>
    </row>
    <row r="114" spans="1:18" s="296" customFormat="1" outlineLevel="2">
      <c r="A114" s="306">
        <v>43501</v>
      </c>
      <c r="B114" s="314" t="s">
        <v>151</v>
      </c>
      <c r="C114" s="307" t="s">
        <v>1022</v>
      </c>
      <c r="D114" s="327">
        <v>0</v>
      </c>
      <c r="E114" s="327">
        <v>0</v>
      </c>
      <c r="F114" s="323">
        <v>0</v>
      </c>
      <c r="G114" s="323" t="e">
        <v>#DIV/0!</v>
      </c>
      <c r="H114" s="310"/>
      <c r="I114" s="820"/>
      <c r="J114" s="310"/>
      <c r="K114" s="310"/>
      <c r="L114" s="310"/>
      <c r="M114" s="310"/>
      <c r="N114" s="310"/>
      <c r="O114" s="806"/>
      <c r="R114" s="543"/>
    </row>
    <row r="115" spans="1:18" s="296" customFormat="1" outlineLevel="2">
      <c r="A115" s="315">
        <v>43529</v>
      </c>
      <c r="B115" s="316" t="s">
        <v>152</v>
      </c>
      <c r="C115" s="317" t="s">
        <v>1022</v>
      </c>
      <c r="D115" s="372">
        <v>14.24</v>
      </c>
      <c r="E115" s="372">
        <v>14.45</v>
      </c>
      <c r="F115" s="372">
        <v>0.2</v>
      </c>
      <c r="G115" s="372">
        <v>1.43</v>
      </c>
      <c r="H115" s="321"/>
      <c r="I115" s="321"/>
      <c r="J115" s="321"/>
      <c r="K115" s="321"/>
      <c r="L115" s="321"/>
      <c r="M115" s="321"/>
      <c r="N115" s="321"/>
      <c r="O115" s="843"/>
      <c r="R115" s="543"/>
    </row>
    <row r="116" spans="1:18" s="296" customFormat="1" outlineLevel="2">
      <c r="A116" s="306">
        <v>43560</v>
      </c>
      <c r="B116" s="314" t="s">
        <v>153</v>
      </c>
      <c r="C116" s="307" t="s">
        <v>1022</v>
      </c>
      <c r="D116" s="327">
        <v>0</v>
      </c>
      <c r="E116" s="327">
        <v>0</v>
      </c>
      <c r="F116" s="323">
        <v>0</v>
      </c>
      <c r="G116" s="323" t="e">
        <v>#DIV/0!</v>
      </c>
      <c r="H116" s="310"/>
      <c r="I116" s="820"/>
      <c r="J116" s="310"/>
      <c r="K116" s="310"/>
      <c r="L116" s="310"/>
      <c r="M116" s="310"/>
      <c r="N116" s="310"/>
      <c r="O116" s="806"/>
      <c r="R116" s="543"/>
    </row>
    <row r="117" spans="1:18" s="296" customFormat="1" outlineLevel="2">
      <c r="A117" s="315">
        <v>43590</v>
      </c>
      <c r="B117" s="316" t="s">
        <v>154</v>
      </c>
      <c r="C117" s="317" t="s">
        <v>1022</v>
      </c>
      <c r="D117" s="372">
        <v>0.15</v>
      </c>
      <c r="E117" s="372">
        <v>-0.59</v>
      </c>
      <c r="F117" s="372">
        <v>-0.74</v>
      </c>
      <c r="G117" s="372">
        <v>-494.79</v>
      </c>
      <c r="H117" s="321"/>
      <c r="I117" s="321"/>
      <c r="J117" s="321"/>
      <c r="K117" s="321"/>
      <c r="L117" s="321"/>
      <c r="M117" s="321"/>
      <c r="N117" s="321"/>
      <c r="O117" s="843"/>
      <c r="R117" s="543"/>
    </row>
    <row r="118" spans="1:18" s="296" customFormat="1" outlineLevel="2">
      <c r="A118" s="306">
        <v>43621</v>
      </c>
      <c r="B118" s="314" t="s">
        <v>155</v>
      </c>
      <c r="C118" s="307" t="s">
        <v>1022</v>
      </c>
      <c r="D118" s="327">
        <v>0</v>
      </c>
      <c r="E118" s="327">
        <v>0</v>
      </c>
      <c r="F118" s="323">
        <v>0</v>
      </c>
      <c r="G118" s="323" t="e">
        <v>#DIV/0!</v>
      </c>
      <c r="H118" s="310"/>
      <c r="I118" s="820"/>
      <c r="J118" s="310"/>
      <c r="K118" s="310"/>
      <c r="L118" s="310"/>
      <c r="M118" s="310"/>
      <c r="N118" s="310"/>
      <c r="O118" s="806"/>
      <c r="R118" s="543"/>
    </row>
    <row r="119" spans="1:18" s="296" customFormat="1" outlineLevel="2">
      <c r="A119" s="306">
        <v>43651</v>
      </c>
      <c r="B119" s="314" t="s">
        <v>156</v>
      </c>
      <c r="C119" s="307" t="s">
        <v>1022</v>
      </c>
      <c r="D119" s="327">
        <v>0</v>
      </c>
      <c r="E119" s="327">
        <v>0</v>
      </c>
      <c r="F119" s="323">
        <v>0</v>
      </c>
      <c r="G119" s="323" t="e">
        <v>#DIV/0!</v>
      </c>
      <c r="H119" s="310"/>
      <c r="I119" s="820"/>
      <c r="J119" s="310"/>
      <c r="K119" s="310"/>
      <c r="L119" s="310"/>
      <c r="M119" s="310"/>
      <c r="N119" s="310"/>
      <c r="O119" s="806"/>
      <c r="R119" s="543"/>
    </row>
    <row r="120" spans="1:18" s="296" customFormat="1" ht="31.5" outlineLevel="2">
      <c r="A120" s="306">
        <v>43682</v>
      </c>
      <c r="B120" s="311" t="s">
        <v>157</v>
      </c>
      <c r="C120" s="307" t="s">
        <v>1022</v>
      </c>
      <c r="D120" s="327">
        <v>0</v>
      </c>
      <c r="E120" s="327">
        <v>0</v>
      </c>
      <c r="F120" s="323">
        <v>0</v>
      </c>
      <c r="G120" s="323" t="e">
        <v>#DIV/0!</v>
      </c>
      <c r="H120" s="310"/>
      <c r="I120" s="820"/>
      <c r="J120" s="310"/>
      <c r="K120" s="310"/>
      <c r="L120" s="310"/>
      <c r="M120" s="310"/>
      <c r="N120" s="310"/>
      <c r="O120" s="806"/>
      <c r="R120" s="543"/>
    </row>
    <row r="121" spans="1:18" s="296" customFormat="1" outlineLevel="2">
      <c r="A121" s="306">
        <v>37108</v>
      </c>
      <c r="B121" s="324" t="s">
        <v>1108</v>
      </c>
      <c r="C121" s="307" t="s">
        <v>1022</v>
      </c>
      <c r="D121" s="327">
        <v>0</v>
      </c>
      <c r="E121" s="327">
        <v>0</v>
      </c>
      <c r="F121" s="323">
        <v>0</v>
      </c>
      <c r="G121" s="323" t="e">
        <v>#DIV/0!</v>
      </c>
      <c r="H121" s="310"/>
      <c r="I121" s="820"/>
      <c r="J121" s="310"/>
      <c r="K121" s="310"/>
      <c r="L121" s="310"/>
      <c r="M121" s="310"/>
      <c r="N121" s="310"/>
      <c r="O121" s="806"/>
      <c r="R121" s="543"/>
    </row>
    <row r="122" spans="1:18" s="296" customFormat="1" outlineLevel="2">
      <c r="A122" s="306">
        <v>37473</v>
      </c>
      <c r="B122" s="324" t="s">
        <v>159</v>
      </c>
      <c r="C122" s="307" t="s">
        <v>1022</v>
      </c>
      <c r="D122" s="327">
        <v>0</v>
      </c>
      <c r="E122" s="327">
        <v>0</v>
      </c>
      <c r="F122" s="323">
        <v>0</v>
      </c>
      <c r="G122" s="323" t="e">
        <v>#DIV/0!</v>
      </c>
      <c r="H122" s="310"/>
      <c r="I122" s="820"/>
      <c r="J122" s="310"/>
      <c r="K122" s="310"/>
      <c r="L122" s="310"/>
      <c r="M122" s="310"/>
      <c r="N122" s="310"/>
      <c r="O122" s="806"/>
      <c r="R122" s="543"/>
    </row>
    <row r="123" spans="1:18" s="296" customFormat="1" ht="16.5" outlineLevel="2" thickBot="1">
      <c r="A123" s="315">
        <v>43713</v>
      </c>
      <c r="B123" s="316" t="s">
        <v>160</v>
      </c>
      <c r="C123" s="317" t="s">
        <v>1022</v>
      </c>
      <c r="D123" s="372">
        <v>0</v>
      </c>
      <c r="E123" s="372">
        <v>0</v>
      </c>
      <c r="F123" s="372">
        <v>0</v>
      </c>
      <c r="G123" s="372" t="e">
        <v>#DIV/0!</v>
      </c>
      <c r="H123" s="321"/>
      <c r="I123" s="321"/>
      <c r="J123" s="321"/>
      <c r="K123" s="321"/>
      <c r="L123" s="321"/>
      <c r="M123" s="321"/>
      <c r="N123" s="321"/>
      <c r="O123" s="843"/>
      <c r="R123" s="543"/>
    </row>
    <row r="124" spans="1:18" s="296" customFormat="1" ht="16.5" thickBot="1">
      <c r="A124" s="297" t="s">
        <v>221</v>
      </c>
      <c r="B124" s="298" t="s">
        <v>222</v>
      </c>
      <c r="C124" s="299" t="s">
        <v>1022</v>
      </c>
      <c r="D124" s="301">
        <v>0</v>
      </c>
      <c r="E124" s="301">
        <v>3.47</v>
      </c>
      <c r="F124" s="301">
        <v>3.47</v>
      </c>
      <c r="G124" s="301" t="e">
        <v>#DIV/0!</v>
      </c>
      <c r="H124" s="375"/>
      <c r="I124" s="376"/>
      <c r="J124" s="375"/>
      <c r="K124" s="377"/>
      <c r="L124" s="375"/>
      <c r="M124" s="375"/>
      <c r="N124" s="375"/>
      <c r="O124" s="375"/>
      <c r="R124" s="543"/>
    </row>
    <row r="125" spans="1:18" s="296" customFormat="1" outlineLevel="2">
      <c r="A125" s="306">
        <v>43471</v>
      </c>
      <c r="B125" s="314" t="s">
        <v>1107</v>
      </c>
      <c r="C125" s="307" t="s">
        <v>1022</v>
      </c>
      <c r="D125" s="327"/>
      <c r="E125" s="327">
        <v>0</v>
      </c>
      <c r="F125" s="327">
        <v>0</v>
      </c>
      <c r="G125" s="327" t="e">
        <v>#DIV/0!</v>
      </c>
      <c r="H125" s="378"/>
      <c r="I125" s="850"/>
      <c r="J125" s="378"/>
      <c r="K125" s="378"/>
      <c r="L125" s="378"/>
      <c r="M125" s="378"/>
      <c r="N125" s="378"/>
      <c r="O125" s="806"/>
      <c r="R125" s="543"/>
    </row>
    <row r="126" spans="1:18" s="296" customFormat="1" ht="31.5" outlineLevel="2">
      <c r="A126" s="306">
        <v>36897</v>
      </c>
      <c r="B126" s="326" t="s">
        <v>148</v>
      </c>
      <c r="C126" s="307" t="s">
        <v>1022</v>
      </c>
      <c r="D126" s="327">
        <v>0</v>
      </c>
      <c r="E126" s="327">
        <v>0</v>
      </c>
      <c r="F126" s="327">
        <v>0</v>
      </c>
      <c r="G126" s="327" t="e">
        <v>#DIV/0!</v>
      </c>
      <c r="H126" s="378"/>
      <c r="I126" s="850"/>
      <c r="J126" s="378"/>
      <c r="K126" s="378"/>
      <c r="L126" s="378"/>
      <c r="M126" s="378"/>
      <c r="N126" s="378"/>
      <c r="O126" s="806"/>
      <c r="R126" s="543"/>
    </row>
    <row r="127" spans="1:18" s="296" customFormat="1" ht="31.5" outlineLevel="2">
      <c r="A127" s="306">
        <v>37262</v>
      </c>
      <c r="B127" s="326" t="s">
        <v>149</v>
      </c>
      <c r="C127" s="307" t="s">
        <v>1022</v>
      </c>
      <c r="D127" s="327">
        <v>0</v>
      </c>
      <c r="E127" s="327">
        <v>0</v>
      </c>
      <c r="F127" s="327">
        <v>0</v>
      </c>
      <c r="G127" s="327" t="e">
        <v>#DIV/0!</v>
      </c>
      <c r="H127" s="378"/>
      <c r="I127" s="850"/>
      <c r="J127" s="378"/>
      <c r="K127" s="378"/>
      <c r="L127" s="378"/>
      <c r="M127" s="378"/>
      <c r="N127" s="378"/>
      <c r="O127" s="806"/>
      <c r="R127" s="543"/>
    </row>
    <row r="128" spans="1:18" s="296" customFormat="1" ht="31.5" outlineLevel="2">
      <c r="A128" s="306">
        <v>37627</v>
      </c>
      <c r="B128" s="326" t="s">
        <v>150</v>
      </c>
      <c r="C128" s="307" t="s">
        <v>1022</v>
      </c>
      <c r="D128" s="327">
        <v>0</v>
      </c>
      <c r="E128" s="327">
        <v>0</v>
      </c>
      <c r="F128" s="327">
        <v>0</v>
      </c>
      <c r="G128" s="327" t="e">
        <v>#DIV/0!</v>
      </c>
      <c r="H128" s="378"/>
      <c r="I128" s="850"/>
      <c r="J128" s="378"/>
      <c r="K128" s="378"/>
      <c r="L128" s="378"/>
      <c r="M128" s="378"/>
      <c r="N128" s="378"/>
      <c r="O128" s="806"/>
      <c r="R128" s="543"/>
    </row>
    <row r="129" spans="1:18" s="296" customFormat="1" outlineLevel="2">
      <c r="A129" s="306">
        <v>43502</v>
      </c>
      <c r="B129" s="374" t="s">
        <v>223</v>
      </c>
      <c r="C129" s="307" t="s">
        <v>1022</v>
      </c>
      <c r="D129" s="327">
        <v>0</v>
      </c>
      <c r="E129" s="327">
        <v>0</v>
      </c>
      <c r="F129" s="327">
        <v>0</v>
      </c>
      <c r="G129" s="327" t="e">
        <v>#DIV/0!</v>
      </c>
      <c r="H129" s="378"/>
      <c r="I129" s="850"/>
      <c r="J129" s="378"/>
      <c r="K129" s="378"/>
      <c r="L129" s="378"/>
      <c r="M129" s="378"/>
      <c r="N129" s="378"/>
      <c r="O129" s="806"/>
      <c r="R129" s="543"/>
    </row>
    <row r="130" spans="1:18" s="296" customFormat="1" outlineLevel="2">
      <c r="A130" s="306">
        <v>43530</v>
      </c>
      <c r="B130" s="374" t="s">
        <v>224</v>
      </c>
      <c r="C130" s="307" t="s">
        <v>1022</v>
      </c>
      <c r="D130" s="327">
        <v>0</v>
      </c>
      <c r="E130" s="327">
        <v>3.47</v>
      </c>
      <c r="F130" s="327">
        <v>3.47</v>
      </c>
      <c r="G130" s="327" t="e">
        <v>#DIV/0!</v>
      </c>
      <c r="H130" s="310"/>
      <c r="I130" s="851"/>
      <c r="J130" s="379"/>
      <c r="K130" s="379"/>
      <c r="L130" s="310"/>
      <c r="M130" s="310"/>
      <c r="N130" s="310"/>
      <c r="O130" s="806"/>
      <c r="R130" s="543"/>
    </row>
    <row r="131" spans="1:18" s="296" customFormat="1" outlineLevel="2">
      <c r="A131" s="306">
        <v>43561</v>
      </c>
      <c r="B131" s="374" t="s">
        <v>225</v>
      </c>
      <c r="C131" s="307" t="s">
        <v>1022</v>
      </c>
      <c r="D131" s="327">
        <v>0</v>
      </c>
      <c r="E131" s="327">
        <v>0</v>
      </c>
      <c r="F131" s="327">
        <v>0</v>
      </c>
      <c r="G131" s="327" t="e">
        <v>#DIV/0!</v>
      </c>
      <c r="H131" s="378"/>
      <c r="I131" s="850"/>
      <c r="J131" s="378"/>
      <c r="K131" s="378"/>
      <c r="L131" s="378"/>
      <c r="M131" s="378"/>
      <c r="N131" s="378"/>
      <c r="O131" s="806"/>
      <c r="R131" s="543"/>
    </row>
    <row r="132" spans="1:18" s="296" customFormat="1" outlineLevel="2">
      <c r="A132" s="306">
        <v>43591</v>
      </c>
      <c r="B132" s="374" t="s">
        <v>226</v>
      </c>
      <c r="C132" s="307" t="s">
        <v>1022</v>
      </c>
      <c r="D132" s="327">
        <v>0</v>
      </c>
      <c r="E132" s="327">
        <v>0</v>
      </c>
      <c r="F132" s="327">
        <v>0</v>
      </c>
      <c r="G132" s="327" t="e">
        <v>#DIV/0!</v>
      </c>
      <c r="H132" s="310"/>
      <c r="I132" s="851"/>
      <c r="J132" s="379"/>
      <c r="K132" s="379"/>
      <c r="L132" s="310"/>
      <c r="M132" s="310"/>
      <c r="N132" s="310"/>
      <c r="O132" s="806"/>
      <c r="R132" s="543"/>
    </row>
    <row r="133" spans="1:18" s="296" customFormat="1" outlineLevel="2">
      <c r="A133" s="306">
        <v>43622</v>
      </c>
      <c r="B133" s="374" t="s">
        <v>227</v>
      </c>
      <c r="C133" s="307" t="s">
        <v>1022</v>
      </c>
      <c r="D133" s="327">
        <v>0</v>
      </c>
      <c r="E133" s="327">
        <v>0</v>
      </c>
      <c r="F133" s="327">
        <v>0</v>
      </c>
      <c r="G133" s="327" t="e">
        <v>#DIV/0!</v>
      </c>
      <c r="H133" s="378"/>
      <c r="I133" s="850"/>
      <c r="J133" s="378"/>
      <c r="K133" s="378"/>
      <c r="L133" s="378"/>
      <c r="M133" s="378"/>
      <c r="N133" s="378"/>
      <c r="O133" s="806"/>
      <c r="R133" s="543"/>
    </row>
    <row r="134" spans="1:18" s="296" customFormat="1" outlineLevel="2">
      <c r="A134" s="306">
        <v>43652</v>
      </c>
      <c r="B134" s="374" t="s">
        <v>228</v>
      </c>
      <c r="C134" s="307" t="s">
        <v>1022</v>
      </c>
      <c r="D134" s="327">
        <v>0</v>
      </c>
      <c r="E134" s="327">
        <v>0</v>
      </c>
      <c r="F134" s="327">
        <v>0</v>
      </c>
      <c r="G134" s="327" t="e">
        <v>#DIV/0!</v>
      </c>
      <c r="H134" s="378"/>
      <c r="I134" s="850"/>
      <c r="J134" s="378"/>
      <c r="K134" s="378"/>
      <c r="L134" s="378"/>
      <c r="M134" s="378"/>
      <c r="N134" s="378"/>
      <c r="O134" s="806"/>
      <c r="R134" s="543"/>
    </row>
    <row r="135" spans="1:18" s="296" customFormat="1" ht="31.5" outlineLevel="2">
      <c r="A135" s="306">
        <v>43683</v>
      </c>
      <c r="B135" s="374" t="s">
        <v>157</v>
      </c>
      <c r="C135" s="307" t="s">
        <v>1022</v>
      </c>
      <c r="D135" s="327">
        <v>0</v>
      </c>
      <c r="E135" s="327">
        <v>0</v>
      </c>
      <c r="F135" s="327">
        <v>0</v>
      </c>
      <c r="G135" s="327" t="e">
        <v>#DIV/0!</v>
      </c>
      <c r="H135" s="378"/>
      <c r="I135" s="850"/>
      <c r="J135" s="378"/>
      <c r="K135" s="378"/>
      <c r="L135" s="378"/>
      <c r="M135" s="378"/>
      <c r="N135" s="378"/>
      <c r="O135" s="806"/>
      <c r="R135" s="543"/>
    </row>
    <row r="136" spans="1:18" s="296" customFormat="1" outlineLevel="2">
      <c r="A136" s="306">
        <v>37109</v>
      </c>
      <c r="B136" s="324" t="s">
        <v>158</v>
      </c>
      <c r="C136" s="307" t="s">
        <v>1022</v>
      </c>
      <c r="D136" s="327">
        <v>0</v>
      </c>
      <c r="E136" s="327">
        <v>0</v>
      </c>
      <c r="F136" s="327">
        <v>0</v>
      </c>
      <c r="G136" s="327" t="e">
        <v>#DIV/0!</v>
      </c>
      <c r="H136" s="378"/>
      <c r="I136" s="850"/>
      <c r="J136" s="378"/>
      <c r="K136" s="378"/>
      <c r="L136" s="378"/>
      <c r="M136" s="378"/>
      <c r="N136" s="378"/>
      <c r="O136" s="806"/>
      <c r="R136" s="543"/>
    </row>
    <row r="137" spans="1:18" s="296" customFormat="1" outlineLevel="2">
      <c r="A137" s="306">
        <v>37474</v>
      </c>
      <c r="B137" s="324" t="s">
        <v>159</v>
      </c>
      <c r="C137" s="307" t="s">
        <v>1022</v>
      </c>
      <c r="D137" s="327">
        <v>0</v>
      </c>
      <c r="E137" s="327">
        <v>0</v>
      </c>
      <c r="F137" s="327">
        <v>0</v>
      </c>
      <c r="G137" s="327" t="e">
        <v>#DIV/0!</v>
      </c>
      <c r="H137" s="378"/>
      <c r="I137" s="850"/>
      <c r="J137" s="378"/>
      <c r="K137" s="378"/>
      <c r="L137" s="378"/>
      <c r="M137" s="378"/>
      <c r="N137" s="378"/>
      <c r="O137" s="806"/>
      <c r="R137" s="543"/>
    </row>
    <row r="138" spans="1:18" s="296" customFormat="1" ht="16.5" outlineLevel="2" thickBot="1">
      <c r="A138" s="306">
        <v>43714</v>
      </c>
      <c r="B138" s="374" t="s">
        <v>229</v>
      </c>
      <c r="C138" s="307" t="s">
        <v>1022</v>
      </c>
      <c r="D138" s="327">
        <v>0</v>
      </c>
      <c r="E138" s="327">
        <v>0</v>
      </c>
      <c r="F138" s="327">
        <v>0</v>
      </c>
      <c r="G138" s="327" t="e">
        <v>#DIV/0!</v>
      </c>
      <c r="H138" s="310"/>
      <c r="I138" s="850"/>
      <c r="J138" s="378"/>
      <c r="K138" s="378"/>
      <c r="L138" s="310"/>
      <c r="M138" s="310"/>
      <c r="N138" s="310"/>
      <c r="O138" s="806"/>
      <c r="R138" s="543"/>
    </row>
    <row r="139" spans="1:18" s="296" customFormat="1" ht="16.5" thickBot="1">
      <c r="A139" s="297" t="s">
        <v>230</v>
      </c>
      <c r="B139" s="298" t="s">
        <v>231</v>
      </c>
      <c r="C139" s="299" t="s">
        <v>1022</v>
      </c>
      <c r="D139" s="380">
        <v>14.39</v>
      </c>
      <c r="E139" s="381">
        <v>10.38</v>
      </c>
      <c r="F139" s="380">
        <v>-4.01</v>
      </c>
      <c r="G139" s="381">
        <v>-27.88</v>
      </c>
      <c r="H139" s="382"/>
      <c r="I139" s="383"/>
      <c r="J139" s="384"/>
      <c r="K139" s="382"/>
      <c r="L139" s="383"/>
      <c r="M139" s="382"/>
      <c r="N139" s="383"/>
      <c r="O139" s="852"/>
      <c r="R139" s="543"/>
    </row>
    <row r="140" spans="1:18" s="296" customFormat="1" outlineLevel="1">
      <c r="A140" s="306">
        <v>43472</v>
      </c>
      <c r="B140" s="314" t="s">
        <v>1107</v>
      </c>
      <c r="C140" s="307" t="s">
        <v>1022</v>
      </c>
      <c r="D140" s="327">
        <v>0</v>
      </c>
      <c r="E140" s="327">
        <v>0</v>
      </c>
      <c r="F140" s="327">
        <v>0</v>
      </c>
      <c r="G140" s="327" t="e">
        <v>#DIV/0!</v>
      </c>
      <c r="H140" s="378"/>
      <c r="I140" s="853"/>
      <c r="J140" s="385"/>
      <c r="K140" s="385"/>
      <c r="L140" s="378"/>
      <c r="M140" s="378"/>
      <c r="N140" s="378"/>
      <c r="O140" s="806"/>
      <c r="R140" s="543"/>
    </row>
    <row r="141" spans="1:18" s="296" customFormat="1" ht="31.5" outlineLevel="1">
      <c r="A141" s="306">
        <v>36898</v>
      </c>
      <c r="B141" s="326" t="s">
        <v>148</v>
      </c>
      <c r="C141" s="307" t="s">
        <v>1022</v>
      </c>
      <c r="D141" s="327">
        <v>0</v>
      </c>
      <c r="E141" s="327">
        <v>0</v>
      </c>
      <c r="F141" s="327">
        <v>0</v>
      </c>
      <c r="G141" s="327" t="e">
        <v>#DIV/0!</v>
      </c>
      <c r="H141" s="378"/>
      <c r="I141" s="853"/>
      <c r="J141" s="385"/>
      <c r="K141" s="385"/>
      <c r="L141" s="378"/>
      <c r="M141" s="378"/>
      <c r="N141" s="378"/>
      <c r="O141" s="806"/>
      <c r="R141" s="543"/>
    </row>
    <row r="142" spans="1:18" s="296" customFormat="1" ht="31.5" outlineLevel="1">
      <c r="A142" s="306">
        <v>37263</v>
      </c>
      <c r="B142" s="326" t="s">
        <v>149</v>
      </c>
      <c r="C142" s="307" t="s">
        <v>1022</v>
      </c>
      <c r="D142" s="327">
        <v>0</v>
      </c>
      <c r="E142" s="327">
        <v>0</v>
      </c>
      <c r="F142" s="327">
        <v>0</v>
      </c>
      <c r="G142" s="327" t="e">
        <v>#DIV/0!</v>
      </c>
      <c r="H142" s="378"/>
      <c r="I142" s="853"/>
      <c r="J142" s="385"/>
      <c r="K142" s="385"/>
      <c r="L142" s="378"/>
      <c r="M142" s="378"/>
      <c r="N142" s="378"/>
      <c r="O142" s="806"/>
      <c r="R142" s="543"/>
    </row>
    <row r="143" spans="1:18" s="296" customFormat="1" ht="31.5" outlineLevel="1">
      <c r="A143" s="306">
        <v>37628</v>
      </c>
      <c r="B143" s="326" t="s">
        <v>150</v>
      </c>
      <c r="C143" s="307" t="s">
        <v>1022</v>
      </c>
      <c r="D143" s="327">
        <v>0</v>
      </c>
      <c r="E143" s="327">
        <v>0</v>
      </c>
      <c r="F143" s="327">
        <v>0</v>
      </c>
      <c r="G143" s="327" t="e">
        <v>#DIV/0!</v>
      </c>
      <c r="H143" s="378"/>
      <c r="I143" s="853"/>
      <c r="J143" s="385"/>
      <c r="K143" s="385"/>
      <c r="L143" s="378"/>
      <c r="M143" s="378"/>
      <c r="N143" s="378"/>
      <c r="O143" s="806"/>
      <c r="R143" s="543"/>
    </row>
    <row r="144" spans="1:18" s="296" customFormat="1" outlineLevel="1">
      <c r="A144" s="306">
        <v>43503</v>
      </c>
      <c r="B144" s="314" t="s">
        <v>151</v>
      </c>
      <c r="C144" s="307" t="s">
        <v>1022</v>
      </c>
      <c r="D144" s="327">
        <v>0</v>
      </c>
      <c r="E144" s="327">
        <v>0</v>
      </c>
      <c r="F144" s="327">
        <v>0</v>
      </c>
      <c r="G144" s="327" t="e">
        <v>#DIV/0!</v>
      </c>
      <c r="H144" s="378"/>
      <c r="I144" s="853"/>
      <c r="J144" s="385"/>
      <c r="K144" s="385"/>
      <c r="L144" s="378"/>
      <c r="M144" s="378"/>
      <c r="N144" s="378"/>
      <c r="O144" s="806"/>
      <c r="R144" s="543"/>
    </row>
    <row r="145" spans="1:18" s="296" customFormat="1" outlineLevel="1">
      <c r="A145" s="306">
        <v>43531</v>
      </c>
      <c r="B145" s="314" t="s">
        <v>152</v>
      </c>
      <c r="C145" s="307" t="s">
        <v>1022</v>
      </c>
      <c r="D145" s="327">
        <v>14.24</v>
      </c>
      <c r="E145" s="327">
        <v>10.97</v>
      </c>
      <c r="F145" s="327">
        <v>-3.27</v>
      </c>
      <c r="G145" s="327">
        <v>-22.96</v>
      </c>
      <c r="H145" s="366"/>
      <c r="I145" s="366"/>
      <c r="J145" s="366"/>
      <c r="K145" s="366"/>
      <c r="L145" s="366"/>
      <c r="M145" s="366"/>
      <c r="N145" s="366"/>
      <c r="O145" s="849"/>
      <c r="R145" s="543"/>
    </row>
    <row r="146" spans="1:18" s="296" customFormat="1" outlineLevel="1">
      <c r="A146" s="306">
        <v>43562</v>
      </c>
      <c r="B146" s="314" t="s">
        <v>153</v>
      </c>
      <c r="C146" s="307" t="s">
        <v>1022</v>
      </c>
      <c r="D146" s="327">
        <v>0</v>
      </c>
      <c r="E146" s="327">
        <v>0</v>
      </c>
      <c r="F146" s="327">
        <v>0</v>
      </c>
      <c r="G146" s="327" t="e">
        <v>#DIV/0!</v>
      </c>
      <c r="H146" s="378"/>
      <c r="I146" s="853"/>
      <c r="J146" s="385"/>
      <c r="K146" s="385"/>
      <c r="L146" s="378"/>
      <c r="M146" s="378"/>
      <c r="N146" s="378"/>
      <c r="O146" s="806"/>
      <c r="R146" s="543"/>
    </row>
    <row r="147" spans="1:18" s="296" customFormat="1" outlineLevel="1">
      <c r="A147" s="306">
        <v>43592</v>
      </c>
      <c r="B147" s="311" t="s">
        <v>154</v>
      </c>
      <c r="C147" s="307" t="s">
        <v>1022</v>
      </c>
      <c r="D147" s="327">
        <v>0.15</v>
      </c>
      <c r="E147" s="327">
        <v>-0.59</v>
      </c>
      <c r="F147" s="327">
        <v>-0.74</v>
      </c>
      <c r="G147" s="327">
        <v>-494.79</v>
      </c>
      <c r="H147" s="330"/>
      <c r="I147" s="330"/>
      <c r="J147" s="330"/>
      <c r="K147" s="330"/>
      <c r="L147" s="330"/>
      <c r="M147" s="330"/>
      <c r="N147" s="330"/>
      <c r="O147" s="849"/>
      <c r="R147" s="543"/>
    </row>
    <row r="148" spans="1:18" s="296" customFormat="1" outlineLevel="1">
      <c r="A148" s="306">
        <v>43623</v>
      </c>
      <c r="B148" s="314" t="s">
        <v>155</v>
      </c>
      <c r="C148" s="307" t="s">
        <v>1022</v>
      </c>
      <c r="D148" s="327">
        <v>0</v>
      </c>
      <c r="E148" s="327">
        <v>0</v>
      </c>
      <c r="F148" s="327">
        <v>0</v>
      </c>
      <c r="G148" s="327" t="e">
        <v>#DIV/0!</v>
      </c>
      <c r="H148" s="378"/>
      <c r="I148" s="853"/>
      <c r="J148" s="385"/>
      <c r="K148" s="385"/>
      <c r="L148" s="378"/>
      <c r="M148" s="378"/>
      <c r="N148" s="378"/>
      <c r="O148" s="806"/>
      <c r="R148" s="543"/>
    </row>
    <row r="149" spans="1:18" s="296" customFormat="1" outlineLevel="1">
      <c r="A149" s="306">
        <v>43653</v>
      </c>
      <c r="B149" s="314" t="s">
        <v>156</v>
      </c>
      <c r="C149" s="307" t="s">
        <v>1022</v>
      </c>
      <c r="D149" s="327">
        <v>0</v>
      </c>
      <c r="E149" s="327">
        <v>0</v>
      </c>
      <c r="F149" s="327">
        <v>0</v>
      </c>
      <c r="G149" s="327" t="e">
        <v>#DIV/0!</v>
      </c>
      <c r="H149" s="378"/>
      <c r="I149" s="853"/>
      <c r="J149" s="385"/>
      <c r="K149" s="385"/>
      <c r="L149" s="378"/>
      <c r="M149" s="378"/>
      <c r="N149" s="378"/>
      <c r="O149" s="806"/>
      <c r="R149" s="543"/>
    </row>
    <row r="150" spans="1:18" s="296" customFormat="1" ht="31.5" outlineLevel="1">
      <c r="A150" s="306">
        <v>43684</v>
      </c>
      <c r="B150" s="311" t="s">
        <v>157</v>
      </c>
      <c r="C150" s="307" t="s">
        <v>1022</v>
      </c>
      <c r="D150" s="327">
        <v>0</v>
      </c>
      <c r="E150" s="327">
        <v>0</v>
      </c>
      <c r="F150" s="327">
        <v>0</v>
      </c>
      <c r="G150" s="327" t="e">
        <v>#DIV/0!</v>
      </c>
      <c r="H150" s="378"/>
      <c r="I150" s="853"/>
      <c r="J150" s="385"/>
      <c r="K150" s="385"/>
      <c r="L150" s="378"/>
      <c r="M150" s="378"/>
      <c r="N150" s="378"/>
      <c r="O150" s="806"/>
      <c r="R150" s="543"/>
    </row>
    <row r="151" spans="1:18" s="296" customFormat="1" outlineLevel="1">
      <c r="A151" s="306">
        <v>37110</v>
      </c>
      <c r="B151" s="324" t="s">
        <v>1108</v>
      </c>
      <c r="C151" s="307" t="s">
        <v>1022</v>
      </c>
      <c r="D151" s="327">
        <v>0</v>
      </c>
      <c r="E151" s="327">
        <v>0</v>
      </c>
      <c r="F151" s="327">
        <v>0</v>
      </c>
      <c r="G151" s="327" t="e">
        <v>#DIV/0!</v>
      </c>
      <c r="H151" s="378"/>
      <c r="I151" s="853"/>
      <c r="J151" s="385"/>
      <c r="K151" s="385"/>
      <c r="L151" s="378"/>
      <c r="M151" s="378"/>
      <c r="N151" s="378"/>
      <c r="O151" s="806"/>
      <c r="R151" s="543"/>
    </row>
    <row r="152" spans="1:18" s="296" customFormat="1" outlineLevel="1">
      <c r="A152" s="306">
        <v>37475</v>
      </c>
      <c r="B152" s="324" t="s">
        <v>159</v>
      </c>
      <c r="C152" s="307" t="s">
        <v>1022</v>
      </c>
      <c r="D152" s="327">
        <v>0</v>
      </c>
      <c r="E152" s="327">
        <v>0</v>
      </c>
      <c r="F152" s="327">
        <v>0</v>
      </c>
      <c r="G152" s="327" t="e">
        <v>#DIV/0!</v>
      </c>
      <c r="H152" s="378"/>
      <c r="I152" s="853"/>
      <c r="J152" s="385"/>
      <c r="K152" s="385"/>
      <c r="L152" s="378"/>
      <c r="M152" s="378"/>
      <c r="N152" s="378"/>
      <c r="O152" s="806"/>
      <c r="R152" s="543"/>
    </row>
    <row r="153" spans="1:18" s="296" customFormat="1" ht="16.5" outlineLevel="1" thickBot="1">
      <c r="A153" s="306">
        <v>43715</v>
      </c>
      <c r="B153" s="314" t="s">
        <v>160</v>
      </c>
      <c r="C153" s="307" t="s">
        <v>1022</v>
      </c>
      <c r="D153" s="327">
        <v>0</v>
      </c>
      <c r="E153" s="327">
        <v>0</v>
      </c>
      <c r="F153" s="327">
        <v>0</v>
      </c>
      <c r="G153" s="327" t="e">
        <v>#DIV/0!</v>
      </c>
      <c r="H153" s="853"/>
      <c r="I153" s="853"/>
      <c r="J153" s="385"/>
      <c r="K153" s="385"/>
      <c r="L153" s="310"/>
      <c r="M153" s="310"/>
      <c r="N153" s="310"/>
      <c r="O153" s="849"/>
      <c r="R153" s="543"/>
    </row>
    <row r="154" spans="1:18" s="296" customFormat="1" ht="16.5" thickBot="1">
      <c r="A154" s="297" t="s">
        <v>232</v>
      </c>
      <c r="B154" s="298" t="s">
        <v>233</v>
      </c>
      <c r="C154" s="299" t="s">
        <v>1022</v>
      </c>
      <c r="D154" s="381">
        <v>14.24</v>
      </c>
      <c r="E154" s="381">
        <v>10.97</v>
      </c>
      <c r="F154" s="381">
        <v>-3.27</v>
      </c>
      <c r="G154" s="381">
        <v>-22.96</v>
      </c>
      <c r="H154" s="383"/>
      <c r="I154" s="383"/>
      <c r="J154" s="383"/>
      <c r="K154" s="383"/>
      <c r="L154" s="383"/>
      <c r="M154" s="383"/>
      <c r="N154" s="383"/>
      <c r="O154" s="383"/>
      <c r="R154" s="543"/>
    </row>
    <row r="155" spans="1:18" s="296" customFormat="1" outlineLevel="2">
      <c r="A155" s="306">
        <v>43473</v>
      </c>
      <c r="B155" s="374" t="s">
        <v>654</v>
      </c>
      <c r="C155" s="307" t="s">
        <v>1022</v>
      </c>
      <c r="D155" s="386">
        <v>4.08</v>
      </c>
      <c r="E155" s="386">
        <v>0</v>
      </c>
      <c r="F155" s="386">
        <v>-4.08</v>
      </c>
      <c r="G155" s="386">
        <v>-100</v>
      </c>
      <c r="H155" s="387"/>
      <c r="I155" s="387"/>
      <c r="J155" s="387"/>
      <c r="K155" s="387"/>
      <c r="L155" s="387"/>
      <c r="M155" s="387"/>
      <c r="N155" s="387"/>
      <c r="O155" s="849"/>
      <c r="R155" s="543"/>
    </row>
    <row r="156" spans="1:18" s="296" customFormat="1" outlineLevel="2">
      <c r="A156" s="306">
        <v>43504</v>
      </c>
      <c r="B156" s="374" t="s">
        <v>655</v>
      </c>
      <c r="C156" s="307" t="s">
        <v>1022</v>
      </c>
      <c r="D156" s="327">
        <v>0</v>
      </c>
      <c r="E156" s="327">
        <v>0</v>
      </c>
      <c r="F156" s="386">
        <v>0</v>
      </c>
      <c r="G156" s="386" t="e">
        <v>#DIV/0!</v>
      </c>
      <c r="H156" s="310"/>
      <c r="I156" s="850"/>
      <c r="J156" s="378"/>
      <c r="K156" s="378"/>
      <c r="L156" s="310"/>
      <c r="M156" s="310"/>
      <c r="N156" s="310"/>
      <c r="O156" s="806"/>
      <c r="R156" s="543"/>
    </row>
    <row r="157" spans="1:18" s="296" customFormat="1" outlineLevel="2">
      <c r="A157" s="306">
        <v>43532</v>
      </c>
      <c r="B157" s="374" t="s">
        <v>235</v>
      </c>
      <c r="C157" s="307" t="s">
        <v>1022</v>
      </c>
      <c r="D157" s="327">
        <v>0</v>
      </c>
      <c r="E157" s="327">
        <v>0</v>
      </c>
      <c r="F157" s="386">
        <v>0</v>
      </c>
      <c r="G157" s="386" t="e">
        <v>#DIV/0!</v>
      </c>
      <c r="H157" s="310"/>
      <c r="I157" s="850"/>
      <c r="J157" s="378"/>
      <c r="K157" s="378"/>
      <c r="L157" s="310"/>
      <c r="M157" s="310"/>
      <c r="N157" s="310"/>
      <c r="O157" s="806"/>
      <c r="R157" s="543"/>
    </row>
    <row r="158" spans="1:18" s="296" customFormat="1" ht="18" customHeight="1" outlineLevel="2">
      <c r="A158" s="306">
        <v>43563</v>
      </c>
      <c r="B158" s="374" t="s">
        <v>656</v>
      </c>
      <c r="C158" s="307" t="s">
        <v>1022</v>
      </c>
      <c r="D158" s="327">
        <v>0</v>
      </c>
      <c r="E158" s="327">
        <v>0</v>
      </c>
      <c r="F158" s="386">
        <v>0</v>
      </c>
      <c r="G158" s="386" t="e">
        <v>#DIV/0!</v>
      </c>
      <c r="H158" s="310"/>
      <c r="I158" s="853"/>
      <c r="J158" s="378"/>
      <c r="K158" s="378"/>
      <c r="L158" s="310"/>
      <c r="M158" s="310"/>
      <c r="N158" s="310"/>
      <c r="O158" s="849"/>
      <c r="R158" s="543"/>
    </row>
    <row r="159" spans="1:18" s="296" customFormat="1" ht="18" customHeight="1" outlineLevel="2" thickBot="1">
      <c r="A159" s="306">
        <v>43593</v>
      </c>
      <c r="B159" s="388" t="s">
        <v>1114</v>
      </c>
      <c r="C159" s="389">
        <v>0</v>
      </c>
      <c r="D159" s="390">
        <v>10.16</v>
      </c>
      <c r="E159" s="391">
        <v>10.97</v>
      </c>
      <c r="F159" s="386">
        <v>0.81</v>
      </c>
      <c r="G159" s="386">
        <v>7.98</v>
      </c>
      <c r="H159" s="371"/>
      <c r="I159" s="371"/>
      <c r="J159" s="392"/>
      <c r="K159" s="393"/>
      <c r="L159" s="394"/>
      <c r="M159" s="395"/>
      <c r="N159" s="395"/>
      <c r="O159" s="854"/>
      <c r="R159" s="543"/>
    </row>
    <row r="160" spans="1:18" s="296" customFormat="1" ht="16.5" thickBot="1">
      <c r="A160" s="297" t="s">
        <v>657</v>
      </c>
      <c r="B160" s="298" t="s">
        <v>198</v>
      </c>
      <c r="C160" s="299" t="s">
        <v>256</v>
      </c>
      <c r="D160" s="380">
        <v>20.86</v>
      </c>
      <c r="E160" s="380">
        <v>21.45</v>
      </c>
      <c r="F160" s="380">
        <v>0.57999999999999996</v>
      </c>
      <c r="G160" s="380">
        <v>2.79</v>
      </c>
      <c r="H160" s="382"/>
      <c r="I160" s="383"/>
      <c r="J160" s="382"/>
      <c r="K160" s="383"/>
      <c r="L160" s="382"/>
      <c r="M160" s="383"/>
      <c r="N160" s="383"/>
      <c r="O160" s="852"/>
      <c r="R160" s="543"/>
    </row>
    <row r="161" spans="1:18" s="296" customFormat="1" ht="37.5" customHeight="1" outlineLevel="2">
      <c r="A161" s="306">
        <v>43474</v>
      </c>
      <c r="B161" s="374" t="s">
        <v>1115</v>
      </c>
      <c r="C161" s="307" t="s">
        <v>1022</v>
      </c>
      <c r="D161" s="327">
        <v>20.86</v>
      </c>
      <c r="E161" s="327">
        <v>21.45</v>
      </c>
      <c r="F161" s="386">
        <v>0.57999999999999996</v>
      </c>
      <c r="G161" s="386">
        <v>2.79</v>
      </c>
      <c r="H161" s="385"/>
      <c r="I161" s="385"/>
      <c r="J161" s="385"/>
      <c r="K161" s="385"/>
      <c r="L161" s="385"/>
      <c r="M161" s="385"/>
      <c r="N161" s="385"/>
      <c r="O161" s="849"/>
      <c r="R161" s="543"/>
    </row>
    <row r="162" spans="1:18" s="296" customFormat="1" ht="18" customHeight="1" outlineLevel="2">
      <c r="A162" s="306">
        <v>43505</v>
      </c>
      <c r="B162" s="374" t="s">
        <v>659</v>
      </c>
      <c r="C162" s="307" t="s">
        <v>1022</v>
      </c>
      <c r="D162" s="327">
        <v>0</v>
      </c>
      <c r="E162" s="327">
        <v>0</v>
      </c>
      <c r="F162" s="386">
        <v>0</v>
      </c>
      <c r="G162" s="386" t="e">
        <v>#DIV/0!</v>
      </c>
      <c r="H162" s="378"/>
      <c r="I162" s="850"/>
      <c r="J162" s="378"/>
      <c r="K162" s="378"/>
      <c r="L162" s="378"/>
      <c r="M162" s="378"/>
      <c r="N162" s="378"/>
      <c r="O162" s="806"/>
      <c r="R162" s="543"/>
    </row>
    <row r="163" spans="1:18" s="296" customFormat="1" ht="18" customHeight="1" outlineLevel="2">
      <c r="A163" s="306">
        <v>36931</v>
      </c>
      <c r="B163" s="326" t="s">
        <v>660</v>
      </c>
      <c r="C163" s="307" t="s">
        <v>1022</v>
      </c>
      <c r="D163" s="327">
        <v>0</v>
      </c>
      <c r="E163" s="327">
        <v>0</v>
      </c>
      <c r="F163" s="386">
        <v>0</v>
      </c>
      <c r="G163" s="386" t="e">
        <v>#DIV/0!</v>
      </c>
      <c r="H163" s="378"/>
      <c r="I163" s="850"/>
      <c r="J163" s="378"/>
      <c r="K163" s="378"/>
      <c r="L163" s="378"/>
      <c r="M163" s="378"/>
      <c r="N163" s="378"/>
      <c r="O163" s="806"/>
      <c r="R163" s="543"/>
    </row>
    <row r="164" spans="1:18" s="296" customFormat="1" ht="18" customHeight="1" outlineLevel="2">
      <c r="A164" s="306">
        <v>43533</v>
      </c>
      <c r="B164" s="374" t="s">
        <v>661</v>
      </c>
      <c r="C164" s="307" t="s">
        <v>1022</v>
      </c>
      <c r="D164" s="327">
        <v>0</v>
      </c>
      <c r="E164" s="327">
        <v>0</v>
      </c>
      <c r="F164" s="386">
        <v>0</v>
      </c>
      <c r="G164" s="386" t="e">
        <v>#DIV/0!</v>
      </c>
      <c r="H164" s="378"/>
      <c r="I164" s="850"/>
      <c r="J164" s="378"/>
      <c r="K164" s="378"/>
      <c r="L164" s="378"/>
      <c r="M164" s="378"/>
      <c r="N164" s="378"/>
      <c r="O164" s="806"/>
      <c r="R164" s="543"/>
    </row>
    <row r="165" spans="1:18" s="296" customFormat="1" ht="18" customHeight="1" outlineLevel="2">
      <c r="A165" s="821">
        <v>36959</v>
      </c>
      <c r="B165" s="326" t="s">
        <v>662</v>
      </c>
      <c r="C165" s="307" t="s">
        <v>1022</v>
      </c>
      <c r="D165" s="824">
        <v>0</v>
      </c>
      <c r="E165" s="824">
        <v>0</v>
      </c>
      <c r="F165" s="386">
        <v>0</v>
      </c>
      <c r="G165" s="386" t="e">
        <v>#DIV/0!</v>
      </c>
      <c r="H165" s="855"/>
      <c r="I165" s="856"/>
      <c r="J165" s="855"/>
      <c r="K165" s="855"/>
      <c r="L165" s="855"/>
      <c r="M165" s="855"/>
      <c r="N165" s="855"/>
      <c r="O165" s="857"/>
      <c r="R165" s="543"/>
    </row>
    <row r="166" spans="1:18" s="296" customFormat="1" ht="32.25" outlineLevel="2" thickBot="1">
      <c r="A166" s="367">
        <v>43564</v>
      </c>
      <c r="B166" s="396" t="s">
        <v>1116</v>
      </c>
      <c r="C166" s="369" t="s">
        <v>256</v>
      </c>
      <c r="D166" s="327">
        <v>0</v>
      </c>
      <c r="E166" s="327">
        <v>0</v>
      </c>
      <c r="F166" s="386">
        <v>0</v>
      </c>
      <c r="G166" s="386" t="e">
        <v>#DIV/0!</v>
      </c>
      <c r="H166" s="378"/>
      <c r="I166" s="850"/>
      <c r="J166" s="378"/>
      <c r="K166" s="378"/>
      <c r="L166" s="378"/>
      <c r="M166" s="378"/>
      <c r="N166" s="378"/>
      <c r="O166" s="858"/>
      <c r="R166" s="543"/>
    </row>
    <row r="167" spans="1:18" s="296" customFormat="1" ht="19.5" thickBot="1">
      <c r="A167" s="783" t="s">
        <v>664</v>
      </c>
      <c r="B167" s="784"/>
      <c r="C167" s="784"/>
      <c r="D167" s="784"/>
      <c r="E167" s="784"/>
      <c r="F167" s="784"/>
      <c r="G167" s="784"/>
      <c r="H167" s="784"/>
      <c r="I167" s="784"/>
      <c r="J167" s="784"/>
      <c r="K167" s="784"/>
      <c r="L167" s="784"/>
      <c r="M167" s="784"/>
      <c r="N167" s="784"/>
      <c r="O167" s="803"/>
      <c r="R167" s="543"/>
    </row>
    <row r="168" spans="1:18" s="296" customFormat="1" ht="16.5" thickBot="1">
      <c r="A168" s="297" t="s">
        <v>330</v>
      </c>
      <c r="B168" s="298" t="s">
        <v>665</v>
      </c>
      <c r="C168" s="299" t="s">
        <v>1022</v>
      </c>
      <c r="D168" s="397">
        <v>241.26</v>
      </c>
      <c r="E168" s="397">
        <v>269.33</v>
      </c>
      <c r="F168" s="397">
        <v>28.07</v>
      </c>
      <c r="G168" s="397">
        <v>11.63</v>
      </c>
      <c r="H168" s="397"/>
      <c r="I168" s="397"/>
      <c r="J168" s="397"/>
      <c r="K168" s="397"/>
      <c r="L168" s="397"/>
      <c r="M168" s="397"/>
      <c r="N168" s="397"/>
      <c r="O168" s="397"/>
      <c r="R168" s="543"/>
    </row>
    <row r="169" spans="1:18" s="296" customFormat="1" outlineLevel="1">
      <c r="A169" s="306">
        <v>43475</v>
      </c>
      <c r="B169" s="314" t="s">
        <v>1107</v>
      </c>
      <c r="C169" s="307" t="s">
        <v>1022</v>
      </c>
      <c r="D169" s="366">
        <v>0</v>
      </c>
      <c r="E169" s="366">
        <v>0</v>
      </c>
      <c r="F169" s="387">
        <v>0</v>
      </c>
      <c r="G169" s="387" t="e">
        <v>#DIV/0!</v>
      </c>
      <c r="H169" s="310"/>
      <c r="I169" s="310"/>
      <c r="J169" s="310"/>
      <c r="K169" s="310"/>
      <c r="L169" s="310"/>
      <c r="M169" s="310"/>
      <c r="N169" s="310"/>
      <c r="O169" s="806"/>
      <c r="R169" s="543"/>
    </row>
    <row r="170" spans="1:18" s="296" customFormat="1" ht="31.5" outlineLevel="1">
      <c r="A170" s="306">
        <v>36901</v>
      </c>
      <c r="B170" s="326" t="s">
        <v>148</v>
      </c>
      <c r="C170" s="307" t="s">
        <v>1022</v>
      </c>
      <c r="D170" s="366">
        <v>0</v>
      </c>
      <c r="E170" s="366">
        <v>0</v>
      </c>
      <c r="F170" s="387">
        <v>0</v>
      </c>
      <c r="G170" s="387" t="e">
        <v>#DIV/0!</v>
      </c>
      <c r="H170" s="310"/>
      <c r="I170" s="820"/>
      <c r="J170" s="310"/>
      <c r="K170" s="310"/>
      <c r="L170" s="310"/>
      <c r="M170" s="310"/>
      <c r="N170" s="310"/>
      <c r="O170" s="806"/>
      <c r="R170" s="543"/>
    </row>
    <row r="171" spans="1:18" s="296" customFormat="1" ht="31.5" outlineLevel="1">
      <c r="A171" s="306">
        <v>37266</v>
      </c>
      <c r="B171" s="326" t="s">
        <v>149</v>
      </c>
      <c r="C171" s="307" t="s">
        <v>1022</v>
      </c>
      <c r="D171" s="366">
        <v>0</v>
      </c>
      <c r="E171" s="366">
        <v>0</v>
      </c>
      <c r="F171" s="387">
        <v>0</v>
      </c>
      <c r="G171" s="387" t="e">
        <v>#DIV/0!</v>
      </c>
      <c r="H171" s="310"/>
      <c r="I171" s="820"/>
      <c r="J171" s="310"/>
      <c r="K171" s="310"/>
      <c r="L171" s="310"/>
      <c r="M171" s="310"/>
      <c r="N171" s="310"/>
      <c r="O171" s="806"/>
      <c r="R171" s="543"/>
    </row>
    <row r="172" spans="1:18" s="296" customFormat="1" ht="31.5" outlineLevel="1">
      <c r="A172" s="306">
        <v>37631</v>
      </c>
      <c r="B172" s="326" t="s">
        <v>150</v>
      </c>
      <c r="C172" s="307" t="s">
        <v>1022</v>
      </c>
      <c r="D172" s="366">
        <v>0</v>
      </c>
      <c r="E172" s="366">
        <v>0</v>
      </c>
      <c r="F172" s="387">
        <v>0</v>
      </c>
      <c r="G172" s="387" t="e">
        <v>#DIV/0!</v>
      </c>
      <c r="H172" s="310"/>
      <c r="I172" s="820"/>
      <c r="J172" s="310"/>
      <c r="K172" s="310"/>
      <c r="L172" s="310"/>
      <c r="M172" s="310"/>
      <c r="N172" s="310"/>
      <c r="O172" s="806"/>
      <c r="R172" s="543"/>
    </row>
    <row r="173" spans="1:18" s="296" customFormat="1" outlineLevel="1">
      <c r="A173" s="306">
        <v>43506</v>
      </c>
      <c r="B173" s="314" t="s">
        <v>151</v>
      </c>
      <c r="C173" s="307" t="s">
        <v>1022</v>
      </c>
      <c r="D173" s="366">
        <v>0</v>
      </c>
      <c r="E173" s="366">
        <v>0</v>
      </c>
      <c r="F173" s="387">
        <v>0</v>
      </c>
      <c r="G173" s="387" t="e">
        <v>#DIV/0!</v>
      </c>
      <c r="H173" s="310"/>
      <c r="I173" s="820"/>
      <c r="J173" s="310"/>
      <c r="K173" s="310"/>
      <c r="L173" s="310"/>
      <c r="M173" s="310"/>
      <c r="N173" s="310"/>
      <c r="O173" s="806"/>
      <c r="R173" s="543"/>
    </row>
    <row r="174" spans="1:18" s="296" customFormat="1" outlineLevel="1">
      <c r="A174" s="306">
        <v>43534</v>
      </c>
      <c r="B174" s="314" t="s">
        <v>152</v>
      </c>
      <c r="C174" s="307" t="s">
        <v>1022</v>
      </c>
      <c r="D174" s="366">
        <v>240.84</v>
      </c>
      <c r="E174" s="366">
        <v>268.48</v>
      </c>
      <c r="F174" s="330">
        <v>27.64</v>
      </c>
      <c r="G174" s="330">
        <v>11.48</v>
      </c>
      <c r="H174" s="329"/>
      <c r="I174" s="329"/>
      <c r="J174" s="329"/>
      <c r="K174" s="329"/>
      <c r="L174" s="329"/>
      <c r="M174" s="329"/>
      <c r="N174" s="329"/>
      <c r="O174" s="847"/>
      <c r="R174" s="543"/>
    </row>
    <row r="175" spans="1:18" s="296" customFormat="1" outlineLevel="1">
      <c r="A175" s="306">
        <v>43565</v>
      </c>
      <c r="B175" s="314" t="s">
        <v>153</v>
      </c>
      <c r="C175" s="307" t="s">
        <v>1022</v>
      </c>
      <c r="D175" s="366">
        <v>0</v>
      </c>
      <c r="E175" s="366">
        <v>0</v>
      </c>
      <c r="F175" s="387">
        <v>0</v>
      </c>
      <c r="G175" s="387" t="e">
        <v>#DIV/0!</v>
      </c>
      <c r="H175" s="310"/>
      <c r="I175" s="820"/>
      <c r="J175" s="310"/>
      <c r="K175" s="310"/>
      <c r="L175" s="310"/>
      <c r="M175" s="310"/>
      <c r="N175" s="310"/>
      <c r="O175" s="806"/>
      <c r="R175" s="543"/>
    </row>
    <row r="176" spans="1:18" s="296" customFormat="1" outlineLevel="1">
      <c r="A176" s="306">
        <v>43595</v>
      </c>
      <c r="B176" s="314" t="s">
        <v>154</v>
      </c>
      <c r="C176" s="307" t="s">
        <v>1022</v>
      </c>
      <c r="D176" s="366">
        <v>0.41</v>
      </c>
      <c r="E176" s="366">
        <v>0.85</v>
      </c>
      <c r="F176" s="330">
        <v>0.43</v>
      </c>
      <c r="G176" s="330">
        <v>104.75</v>
      </c>
      <c r="H176" s="329"/>
      <c r="I176" s="329"/>
      <c r="J176" s="329"/>
      <c r="K176" s="329"/>
      <c r="L176" s="329"/>
      <c r="M176" s="329"/>
      <c r="N176" s="329"/>
      <c r="O176" s="847"/>
      <c r="R176" s="543"/>
    </row>
    <row r="177" spans="1:18" s="296" customFormat="1" outlineLevel="1">
      <c r="A177" s="306">
        <v>43626</v>
      </c>
      <c r="B177" s="314" t="s">
        <v>155</v>
      </c>
      <c r="C177" s="307" t="s">
        <v>1022</v>
      </c>
      <c r="D177" s="366">
        <v>0</v>
      </c>
      <c r="E177" s="366">
        <v>0</v>
      </c>
      <c r="F177" s="330">
        <v>0</v>
      </c>
      <c r="G177" s="330" t="e">
        <v>#DIV/0!</v>
      </c>
      <c r="H177" s="399"/>
      <c r="I177" s="399"/>
      <c r="J177" s="399"/>
      <c r="K177" s="399"/>
      <c r="L177" s="399"/>
      <c r="M177" s="399"/>
      <c r="N177" s="399"/>
      <c r="O177" s="859"/>
      <c r="R177" s="543"/>
    </row>
    <row r="178" spans="1:18" s="296" customFormat="1" outlineLevel="1">
      <c r="A178" s="306">
        <v>43656</v>
      </c>
      <c r="B178" s="314" t="s">
        <v>156</v>
      </c>
      <c r="C178" s="307" t="s">
        <v>1022</v>
      </c>
      <c r="D178" s="366">
        <v>0</v>
      </c>
      <c r="E178" s="366">
        <v>0</v>
      </c>
      <c r="F178" s="387">
        <v>0</v>
      </c>
      <c r="G178" s="387" t="e">
        <v>#DIV/0!</v>
      </c>
      <c r="H178" s="310"/>
      <c r="I178" s="820"/>
      <c r="J178" s="310"/>
      <c r="K178" s="310"/>
      <c r="L178" s="310"/>
      <c r="M178" s="310"/>
      <c r="N178" s="310"/>
      <c r="O178" s="806"/>
      <c r="R178" s="543"/>
    </row>
    <row r="179" spans="1:18" s="296" customFormat="1" ht="31.5" outlineLevel="1">
      <c r="A179" s="306">
        <v>43687</v>
      </c>
      <c r="B179" s="311" t="s">
        <v>157</v>
      </c>
      <c r="C179" s="307" t="s">
        <v>1022</v>
      </c>
      <c r="D179" s="366">
        <v>0</v>
      </c>
      <c r="E179" s="366">
        <v>0</v>
      </c>
      <c r="F179" s="387">
        <v>0</v>
      </c>
      <c r="G179" s="387" t="e">
        <v>#DIV/0!</v>
      </c>
      <c r="H179" s="310"/>
      <c r="I179" s="310"/>
      <c r="J179" s="310"/>
      <c r="K179" s="310"/>
      <c r="L179" s="310"/>
      <c r="M179" s="310"/>
      <c r="N179" s="310"/>
      <c r="O179" s="806"/>
      <c r="R179" s="543"/>
    </row>
    <row r="180" spans="1:18" s="296" customFormat="1" outlineLevel="1">
      <c r="A180" s="306">
        <v>37113</v>
      </c>
      <c r="B180" s="324" t="s">
        <v>1108</v>
      </c>
      <c r="C180" s="307" t="s">
        <v>1022</v>
      </c>
      <c r="D180" s="366">
        <v>0</v>
      </c>
      <c r="E180" s="366">
        <v>0</v>
      </c>
      <c r="F180" s="387">
        <v>0</v>
      </c>
      <c r="G180" s="387" t="e">
        <v>#DIV/0!</v>
      </c>
      <c r="H180" s="310"/>
      <c r="I180" s="820"/>
      <c r="J180" s="310"/>
      <c r="K180" s="310"/>
      <c r="L180" s="310"/>
      <c r="M180" s="310"/>
      <c r="N180" s="310"/>
      <c r="O180" s="806"/>
      <c r="R180" s="543"/>
    </row>
    <row r="181" spans="1:18" s="296" customFormat="1" outlineLevel="1">
      <c r="A181" s="306">
        <v>37478</v>
      </c>
      <c r="B181" s="324" t="s">
        <v>159</v>
      </c>
      <c r="C181" s="307" t="s">
        <v>1022</v>
      </c>
      <c r="D181" s="366">
        <v>0</v>
      </c>
      <c r="E181" s="366">
        <v>0</v>
      </c>
      <c r="F181" s="387">
        <v>0</v>
      </c>
      <c r="G181" s="387" t="e">
        <v>#DIV/0!</v>
      </c>
      <c r="H181" s="310"/>
      <c r="I181" s="820"/>
      <c r="J181" s="310"/>
      <c r="K181" s="310"/>
      <c r="L181" s="310"/>
      <c r="M181" s="310"/>
      <c r="N181" s="310"/>
      <c r="O181" s="806"/>
      <c r="R181" s="543"/>
    </row>
    <row r="182" spans="1:18" s="296" customFormat="1" ht="31.5" outlineLevel="1">
      <c r="A182" s="306">
        <v>43718</v>
      </c>
      <c r="B182" s="374" t="s">
        <v>666</v>
      </c>
      <c r="C182" s="307" t="s">
        <v>1022</v>
      </c>
      <c r="D182" s="366">
        <v>0</v>
      </c>
      <c r="E182" s="366">
        <v>0</v>
      </c>
      <c r="F182" s="387">
        <v>0</v>
      </c>
      <c r="G182" s="387" t="e">
        <v>#DIV/0!</v>
      </c>
      <c r="H182" s="310"/>
      <c r="I182" s="310"/>
      <c r="J182" s="310"/>
      <c r="K182" s="310"/>
      <c r="L182" s="310"/>
      <c r="M182" s="310"/>
      <c r="N182" s="310"/>
      <c r="O182" s="806"/>
      <c r="R182" s="543"/>
    </row>
    <row r="183" spans="1:18" s="296" customFormat="1" outlineLevel="1">
      <c r="A183" s="306">
        <v>37144</v>
      </c>
      <c r="B183" s="326" t="s">
        <v>667</v>
      </c>
      <c r="C183" s="307" t="s">
        <v>1022</v>
      </c>
      <c r="D183" s="366">
        <v>0</v>
      </c>
      <c r="E183" s="366">
        <v>0</v>
      </c>
      <c r="F183" s="387">
        <v>0</v>
      </c>
      <c r="G183" s="387" t="e">
        <v>#DIV/0!</v>
      </c>
      <c r="H183" s="310"/>
      <c r="I183" s="820"/>
      <c r="J183" s="310"/>
      <c r="K183" s="310"/>
      <c r="L183" s="310"/>
      <c r="M183" s="310"/>
      <c r="N183" s="310"/>
      <c r="O183" s="806"/>
      <c r="R183" s="543"/>
    </row>
    <row r="184" spans="1:18" s="296" customFormat="1" outlineLevel="1">
      <c r="A184" s="306">
        <v>37509</v>
      </c>
      <c r="B184" s="326" t="s">
        <v>668</v>
      </c>
      <c r="C184" s="307" t="s">
        <v>1022</v>
      </c>
      <c r="D184" s="366">
        <v>0</v>
      </c>
      <c r="E184" s="366">
        <v>0</v>
      </c>
      <c r="F184" s="387">
        <v>0</v>
      </c>
      <c r="G184" s="387" t="e">
        <v>#DIV/0!</v>
      </c>
      <c r="H184" s="310"/>
      <c r="I184" s="820"/>
      <c r="J184" s="310"/>
      <c r="K184" s="310"/>
      <c r="L184" s="310"/>
      <c r="M184" s="310"/>
      <c r="N184" s="310"/>
      <c r="O184" s="806"/>
      <c r="R184" s="543"/>
    </row>
    <row r="185" spans="1:18" s="296" customFormat="1" ht="16.5" outlineLevel="1" thickBot="1">
      <c r="A185" s="306">
        <v>43748</v>
      </c>
      <c r="B185" s="314" t="s">
        <v>160</v>
      </c>
      <c r="C185" s="307" t="s">
        <v>1022</v>
      </c>
      <c r="D185" s="366">
        <v>0</v>
      </c>
      <c r="E185" s="366">
        <v>0</v>
      </c>
      <c r="F185" s="387">
        <v>0</v>
      </c>
      <c r="G185" s="387" t="e">
        <v>#DIV/0!</v>
      </c>
      <c r="H185" s="310"/>
      <c r="I185" s="820"/>
      <c r="J185" s="310"/>
      <c r="K185" s="310"/>
      <c r="L185" s="310"/>
      <c r="M185" s="310"/>
      <c r="N185" s="310"/>
      <c r="O185" s="806"/>
      <c r="R185" s="543"/>
    </row>
    <row r="186" spans="1:18" s="296" customFormat="1" ht="16.5" thickBot="1">
      <c r="A186" s="297" t="s">
        <v>669</v>
      </c>
      <c r="B186" s="298" t="s">
        <v>670</v>
      </c>
      <c r="C186" s="299" t="s">
        <v>1022</v>
      </c>
      <c r="D186" s="400">
        <v>230.63</v>
      </c>
      <c r="E186" s="400">
        <v>263.39</v>
      </c>
      <c r="F186" s="397">
        <v>32.76</v>
      </c>
      <c r="G186" s="397">
        <v>14.2</v>
      </c>
      <c r="H186" s="397"/>
      <c r="I186" s="397"/>
      <c r="J186" s="397"/>
      <c r="K186" s="397"/>
      <c r="L186" s="397"/>
      <c r="M186" s="397"/>
      <c r="N186" s="397"/>
      <c r="O186" s="397"/>
      <c r="R186" s="543"/>
    </row>
    <row r="187" spans="1:18" s="296" customFormat="1">
      <c r="A187" s="306">
        <v>43476</v>
      </c>
      <c r="B187" s="374" t="s">
        <v>671</v>
      </c>
      <c r="C187" s="307" t="s">
        <v>1022</v>
      </c>
      <c r="D187" s="366">
        <v>0</v>
      </c>
      <c r="E187" s="366">
        <v>0</v>
      </c>
      <c r="F187" s="387">
        <v>0</v>
      </c>
      <c r="G187" s="387" t="e">
        <v>#DIV/0!</v>
      </c>
      <c r="H187" s="310"/>
      <c r="I187" s="820"/>
      <c r="J187" s="310"/>
      <c r="K187" s="310"/>
      <c r="L187" s="310"/>
      <c r="M187" s="310"/>
      <c r="N187" s="310"/>
      <c r="O187" s="806"/>
      <c r="R187" s="543"/>
    </row>
    <row r="188" spans="1:18" s="296" customFormat="1">
      <c r="A188" s="306">
        <v>43507</v>
      </c>
      <c r="B188" s="374" t="s">
        <v>672</v>
      </c>
      <c r="C188" s="307" t="s">
        <v>1022</v>
      </c>
      <c r="D188" s="366">
        <v>49.11</v>
      </c>
      <c r="E188" s="366">
        <v>82.69</v>
      </c>
      <c r="F188" s="387">
        <v>33.58</v>
      </c>
      <c r="G188" s="387">
        <v>68.39</v>
      </c>
      <c r="H188" s="330"/>
      <c r="I188" s="330"/>
      <c r="J188" s="330"/>
      <c r="K188" s="330"/>
      <c r="L188" s="330"/>
      <c r="M188" s="330"/>
      <c r="N188" s="330"/>
      <c r="O188" s="849"/>
      <c r="R188" s="543"/>
    </row>
    <row r="189" spans="1:18" s="296" customFormat="1">
      <c r="A189" s="306">
        <v>36933</v>
      </c>
      <c r="B189" s="326" t="s">
        <v>292</v>
      </c>
      <c r="C189" s="307" t="s">
        <v>1022</v>
      </c>
      <c r="D189" s="366">
        <v>0</v>
      </c>
      <c r="E189" s="366">
        <v>0</v>
      </c>
      <c r="F189" s="387">
        <v>0</v>
      </c>
      <c r="G189" s="387" t="e">
        <v>#DIV/0!</v>
      </c>
      <c r="H189" s="330"/>
      <c r="I189" s="841"/>
      <c r="J189" s="330"/>
      <c r="K189" s="330"/>
      <c r="L189" s="330"/>
      <c r="M189" s="330"/>
      <c r="N189" s="330"/>
      <c r="O189" s="849"/>
      <c r="R189" s="543"/>
    </row>
    <row r="190" spans="1:18" s="296" customFormat="1">
      <c r="A190" s="306">
        <v>37298</v>
      </c>
      <c r="B190" s="326" t="s">
        <v>673</v>
      </c>
      <c r="C190" s="307" t="s">
        <v>1022</v>
      </c>
      <c r="D190" s="366">
        <v>0</v>
      </c>
      <c r="E190" s="366">
        <v>0</v>
      </c>
      <c r="F190" s="387">
        <v>0</v>
      </c>
      <c r="G190" s="387" t="e">
        <v>#DIV/0!</v>
      </c>
      <c r="H190" s="330"/>
      <c r="I190" s="841"/>
      <c r="J190" s="330"/>
      <c r="K190" s="330"/>
      <c r="L190" s="330"/>
      <c r="M190" s="330"/>
      <c r="N190" s="330"/>
      <c r="O190" s="849"/>
      <c r="R190" s="543"/>
    </row>
    <row r="191" spans="1:18" s="296" customFormat="1">
      <c r="A191" s="306">
        <v>37663</v>
      </c>
      <c r="B191" s="326" t="s">
        <v>674</v>
      </c>
      <c r="C191" s="307" t="s">
        <v>1022</v>
      </c>
      <c r="D191" s="366">
        <v>49.11</v>
      </c>
      <c r="E191" s="366">
        <v>82.69</v>
      </c>
      <c r="F191" s="330">
        <v>33.58</v>
      </c>
      <c r="G191" s="330">
        <v>68.39</v>
      </c>
      <c r="H191" s="329"/>
      <c r="I191" s="329"/>
      <c r="J191" s="329"/>
      <c r="K191" s="329"/>
      <c r="L191" s="329"/>
      <c r="M191" s="329"/>
      <c r="N191" s="329"/>
      <c r="O191" s="810"/>
      <c r="R191" s="543"/>
    </row>
    <row r="192" spans="1:18" s="296" customFormat="1" ht="31.5">
      <c r="A192" s="306">
        <v>43535</v>
      </c>
      <c r="B192" s="374" t="s">
        <v>675</v>
      </c>
      <c r="C192" s="307" t="s">
        <v>1022</v>
      </c>
      <c r="D192" s="366">
        <v>29.96</v>
      </c>
      <c r="E192" s="366">
        <v>42.97</v>
      </c>
      <c r="F192" s="330">
        <v>13.01</v>
      </c>
      <c r="G192" s="330">
        <v>43.42</v>
      </c>
      <c r="H192" s="329"/>
      <c r="I192" s="329"/>
      <c r="J192" s="329"/>
      <c r="K192" s="329"/>
      <c r="L192" s="329"/>
      <c r="M192" s="329"/>
      <c r="N192" s="329"/>
      <c r="O192" s="810"/>
      <c r="R192" s="543"/>
    </row>
    <row r="193" spans="1:18" s="296" customFormat="1" ht="31.5">
      <c r="A193" s="306">
        <v>43566</v>
      </c>
      <c r="B193" s="374" t="s">
        <v>676</v>
      </c>
      <c r="C193" s="307" t="s">
        <v>1022</v>
      </c>
      <c r="D193" s="501">
        <v>48.9</v>
      </c>
      <c r="E193" s="501">
        <v>41.53</v>
      </c>
      <c r="F193" s="330">
        <v>-7.37</v>
      </c>
      <c r="G193" s="330">
        <v>-15.07</v>
      </c>
      <c r="H193" s="402"/>
      <c r="I193" s="402"/>
      <c r="J193" s="402"/>
      <c r="K193" s="402"/>
      <c r="L193" s="402"/>
      <c r="M193" s="402"/>
      <c r="N193" s="402"/>
      <c r="O193" s="810"/>
      <c r="R193" s="543"/>
    </row>
    <row r="194" spans="1:18" s="296" customFormat="1">
      <c r="A194" s="306">
        <v>43596</v>
      </c>
      <c r="B194" s="374" t="s">
        <v>677</v>
      </c>
      <c r="C194" s="307" t="s">
        <v>1022</v>
      </c>
      <c r="D194" s="366">
        <v>0</v>
      </c>
      <c r="E194" s="366">
        <v>0</v>
      </c>
      <c r="F194" s="310">
        <v>0</v>
      </c>
      <c r="G194" s="310" t="e">
        <v>#DIV/0!</v>
      </c>
      <c r="H194" s="310"/>
      <c r="I194" s="820"/>
      <c r="J194" s="310"/>
      <c r="K194" s="310"/>
      <c r="L194" s="310"/>
      <c r="M194" s="310"/>
      <c r="N194" s="310"/>
      <c r="O194" s="806"/>
      <c r="R194" s="543"/>
    </row>
    <row r="195" spans="1:18" s="296" customFormat="1">
      <c r="A195" s="306">
        <v>43627</v>
      </c>
      <c r="B195" s="374" t="s">
        <v>678</v>
      </c>
      <c r="C195" s="307" t="s">
        <v>1022</v>
      </c>
      <c r="D195" s="366">
        <v>29.72</v>
      </c>
      <c r="E195" s="366">
        <v>32.340000000000003</v>
      </c>
      <c r="F195" s="330">
        <v>2.62</v>
      </c>
      <c r="G195" s="330">
        <v>8.8000000000000007</v>
      </c>
      <c r="H195" s="329"/>
      <c r="I195" s="329"/>
      <c r="J195" s="329"/>
      <c r="K195" s="329"/>
      <c r="L195" s="329"/>
      <c r="M195" s="329"/>
      <c r="N195" s="329"/>
      <c r="O195" s="810"/>
      <c r="R195" s="543"/>
    </row>
    <row r="196" spans="1:18" s="296" customFormat="1">
      <c r="A196" s="306">
        <v>43657</v>
      </c>
      <c r="B196" s="374" t="s">
        <v>679</v>
      </c>
      <c r="C196" s="307" t="s">
        <v>1022</v>
      </c>
      <c r="D196" s="366">
        <v>8.98</v>
      </c>
      <c r="E196" s="366">
        <v>9.77</v>
      </c>
      <c r="F196" s="330">
        <v>0.79</v>
      </c>
      <c r="G196" s="330">
        <v>8.8000000000000007</v>
      </c>
      <c r="H196" s="329"/>
      <c r="I196" s="329"/>
      <c r="J196" s="329"/>
      <c r="K196" s="329"/>
      <c r="L196" s="329"/>
      <c r="M196" s="329"/>
      <c r="N196" s="329"/>
      <c r="O196" s="810"/>
      <c r="R196" s="543"/>
    </row>
    <row r="197" spans="1:18" s="296" customFormat="1">
      <c r="A197" s="306">
        <v>43688</v>
      </c>
      <c r="B197" s="374" t="s">
        <v>680</v>
      </c>
      <c r="C197" s="307" t="s">
        <v>1022</v>
      </c>
      <c r="D197" s="366">
        <v>1.56</v>
      </c>
      <c r="E197" s="366">
        <v>1.37</v>
      </c>
      <c r="F197" s="330">
        <v>-0.2</v>
      </c>
      <c r="G197" s="330">
        <v>-12.66</v>
      </c>
      <c r="H197" s="398"/>
      <c r="I197" s="398"/>
      <c r="J197" s="398"/>
      <c r="K197" s="398"/>
      <c r="L197" s="398"/>
      <c r="M197" s="398"/>
      <c r="N197" s="398"/>
      <c r="O197" s="810"/>
      <c r="R197" s="543"/>
    </row>
    <row r="198" spans="1:18" s="296" customFormat="1">
      <c r="A198" s="306">
        <v>37114</v>
      </c>
      <c r="B198" s="326" t="s">
        <v>681</v>
      </c>
      <c r="C198" s="307" t="s">
        <v>1022</v>
      </c>
      <c r="D198" s="366">
        <v>0</v>
      </c>
      <c r="E198" s="366">
        <v>3.47</v>
      </c>
      <c r="F198" s="330">
        <v>3.47</v>
      </c>
      <c r="G198" s="330" t="e">
        <v>#DIV/0!</v>
      </c>
      <c r="H198" s="373"/>
      <c r="I198" s="844"/>
      <c r="J198" s="373"/>
      <c r="K198" s="373"/>
      <c r="L198" s="373"/>
      <c r="M198" s="373"/>
      <c r="N198" s="373"/>
      <c r="O198" s="810"/>
      <c r="R198" s="543"/>
    </row>
    <row r="199" spans="1:18" s="296" customFormat="1">
      <c r="A199" s="306">
        <v>43719</v>
      </c>
      <c r="B199" s="374" t="s">
        <v>682</v>
      </c>
      <c r="C199" s="307" t="s">
        <v>1022</v>
      </c>
      <c r="D199" s="366">
        <v>7.82</v>
      </c>
      <c r="E199" s="366">
        <v>6.46</v>
      </c>
      <c r="F199" s="330">
        <v>-1.36</v>
      </c>
      <c r="G199" s="330">
        <v>-17.41</v>
      </c>
      <c r="H199" s="329"/>
      <c r="I199" s="329"/>
      <c r="J199" s="329"/>
      <c r="K199" s="329"/>
      <c r="L199" s="329"/>
      <c r="M199" s="329"/>
      <c r="N199" s="329"/>
      <c r="O199" s="810"/>
      <c r="R199" s="543"/>
    </row>
    <row r="200" spans="1:18" s="296" customFormat="1">
      <c r="A200" s="306">
        <v>43749</v>
      </c>
      <c r="B200" s="374" t="s">
        <v>683</v>
      </c>
      <c r="C200" s="307" t="s">
        <v>1022</v>
      </c>
      <c r="D200" s="366">
        <v>2.5</v>
      </c>
      <c r="E200" s="366">
        <v>2.36</v>
      </c>
      <c r="F200" s="330">
        <v>-0.14000000000000001</v>
      </c>
      <c r="G200" s="330">
        <v>-5.64</v>
      </c>
      <c r="H200" s="329"/>
      <c r="I200" s="329"/>
      <c r="J200" s="329"/>
      <c r="K200" s="329"/>
      <c r="L200" s="329"/>
      <c r="M200" s="329"/>
      <c r="N200" s="329"/>
      <c r="O200" s="810"/>
      <c r="R200" s="543"/>
    </row>
    <row r="201" spans="1:18" s="296" customFormat="1">
      <c r="A201" s="306">
        <v>43780</v>
      </c>
      <c r="B201" s="374" t="s">
        <v>684</v>
      </c>
      <c r="C201" s="307" t="s">
        <v>1022</v>
      </c>
      <c r="D201" s="366">
        <v>13.29</v>
      </c>
      <c r="E201" s="366">
        <v>15.36</v>
      </c>
      <c r="F201" s="330">
        <v>2.08</v>
      </c>
      <c r="G201" s="330">
        <v>15.62</v>
      </c>
      <c r="H201" s="329"/>
      <c r="I201" s="329"/>
      <c r="J201" s="329"/>
      <c r="K201" s="329"/>
      <c r="L201" s="329"/>
      <c r="M201" s="329"/>
      <c r="N201" s="329"/>
      <c r="O201" s="810"/>
      <c r="R201" s="543"/>
    </row>
    <row r="202" spans="1:18" s="296" customFormat="1" ht="31.5">
      <c r="A202" s="306">
        <v>43810</v>
      </c>
      <c r="B202" s="374" t="s">
        <v>685</v>
      </c>
      <c r="C202" s="307" t="s">
        <v>1022</v>
      </c>
      <c r="D202" s="366">
        <v>0</v>
      </c>
      <c r="E202" s="366">
        <v>0</v>
      </c>
      <c r="F202" s="330">
        <v>0</v>
      </c>
      <c r="G202" s="330" t="e">
        <v>#DIV/0!</v>
      </c>
      <c r="H202" s="329"/>
      <c r="I202" s="329"/>
      <c r="J202" s="329"/>
      <c r="K202" s="329"/>
      <c r="L202" s="329"/>
      <c r="M202" s="329"/>
      <c r="N202" s="329"/>
      <c r="O202" s="810"/>
      <c r="R202" s="543"/>
    </row>
    <row r="203" spans="1:18" s="296" customFormat="1" ht="16.5" thickBot="1">
      <c r="A203" s="306">
        <v>41579</v>
      </c>
      <c r="B203" s="374" t="s">
        <v>686</v>
      </c>
      <c r="C203" s="307" t="s">
        <v>1022</v>
      </c>
      <c r="D203" s="366">
        <v>38.799999999999997</v>
      </c>
      <c r="E203" s="366">
        <v>28.55</v>
      </c>
      <c r="F203" s="330">
        <v>-10.25</v>
      </c>
      <c r="G203" s="330">
        <v>-26.41</v>
      </c>
      <c r="H203" s="329"/>
      <c r="I203" s="329"/>
      <c r="J203" s="329"/>
      <c r="K203" s="329"/>
      <c r="L203" s="329"/>
      <c r="M203" s="329"/>
      <c r="N203" s="329"/>
      <c r="O203" s="810"/>
      <c r="R203" s="543"/>
    </row>
    <row r="204" spans="1:18" s="296" customFormat="1" ht="16.5" thickBot="1">
      <c r="A204" s="297" t="s">
        <v>687</v>
      </c>
      <c r="B204" s="298" t="s">
        <v>688</v>
      </c>
      <c r="C204" s="299" t="s">
        <v>1022</v>
      </c>
      <c r="D204" s="400">
        <v>0</v>
      </c>
      <c r="E204" s="400">
        <v>0</v>
      </c>
      <c r="F204" s="375">
        <v>0</v>
      </c>
      <c r="G204" s="375" t="e">
        <v>#DIV/0!</v>
      </c>
      <c r="H204" s="375"/>
      <c r="I204" s="375"/>
      <c r="J204" s="375"/>
      <c r="K204" s="375"/>
      <c r="L204" s="375"/>
      <c r="M204" s="375"/>
      <c r="N204" s="375"/>
      <c r="O204" s="375"/>
      <c r="R204" s="543"/>
    </row>
    <row r="205" spans="1:18" s="296" customFormat="1">
      <c r="A205" s="306">
        <v>43477</v>
      </c>
      <c r="B205" s="374" t="s">
        <v>689</v>
      </c>
      <c r="C205" s="307" t="s">
        <v>1022</v>
      </c>
      <c r="D205" s="366">
        <v>0</v>
      </c>
      <c r="E205" s="366">
        <v>0</v>
      </c>
      <c r="F205" s="310">
        <v>0</v>
      </c>
      <c r="G205" s="310" t="e">
        <v>#DIV/0!</v>
      </c>
      <c r="H205" s="310"/>
      <c r="I205" s="820"/>
      <c r="J205" s="310"/>
      <c r="K205" s="310"/>
      <c r="L205" s="310"/>
      <c r="M205" s="310"/>
      <c r="N205" s="310"/>
      <c r="O205" s="806"/>
      <c r="R205" s="543"/>
    </row>
    <row r="206" spans="1:18" s="296" customFormat="1">
      <c r="A206" s="306">
        <v>43508</v>
      </c>
      <c r="B206" s="374" t="s">
        <v>1117</v>
      </c>
      <c r="C206" s="307" t="s">
        <v>1022</v>
      </c>
      <c r="D206" s="366">
        <v>0</v>
      </c>
      <c r="E206" s="366">
        <v>0</v>
      </c>
      <c r="F206" s="310">
        <v>0</v>
      </c>
      <c r="G206" s="310" t="e">
        <v>#DIV/0!</v>
      </c>
      <c r="H206" s="310"/>
      <c r="I206" s="310"/>
      <c r="J206" s="310"/>
      <c r="K206" s="310"/>
      <c r="L206" s="310"/>
      <c r="M206" s="310"/>
      <c r="N206" s="310"/>
      <c r="O206" s="806"/>
      <c r="R206" s="543"/>
    </row>
    <row r="207" spans="1:18" s="296" customFormat="1" ht="34.5" customHeight="1">
      <c r="A207" s="306">
        <v>36934</v>
      </c>
      <c r="B207" s="326" t="s">
        <v>691</v>
      </c>
      <c r="C207" s="307" t="s">
        <v>1022</v>
      </c>
      <c r="D207" s="366">
        <v>0</v>
      </c>
      <c r="E207" s="366">
        <v>0</v>
      </c>
      <c r="F207" s="310">
        <v>0</v>
      </c>
      <c r="G207" s="310" t="e">
        <v>#DIV/0!</v>
      </c>
      <c r="H207" s="310"/>
      <c r="I207" s="310"/>
      <c r="J207" s="310"/>
      <c r="K207" s="310"/>
      <c r="L207" s="310"/>
      <c r="M207" s="310"/>
      <c r="N207" s="310"/>
      <c r="O207" s="806"/>
      <c r="R207" s="543"/>
    </row>
    <row r="208" spans="1:18" s="296" customFormat="1">
      <c r="A208" s="306" t="s">
        <v>692</v>
      </c>
      <c r="B208" s="344" t="s">
        <v>458</v>
      </c>
      <c r="C208" s="307" t="s">
        <v>1022</v>
      </c>
      <c r="D208" s="366">
        <v>0</v>
      </c>
      <c r="E208" s="366">
        <v>0</v>
      </c>
      <c r="F208" s="310">
        <v>0</v>
      </c>
      <c r="G208" s="310" t="e">
        <v>#DIV/0!</v>
      </c>
      <c r="H208" s="310"/>
      <c r="I208" s="820"/>
      <c r="J208" s="310"/>
      <c r="K208" s="310"/>
      <c r="L208" s="310"/>
      <c r="M208" s="310"/>
      <c r="N208" s="310"/>
      <c r="O208" s="806"/>
      <c r="R208" s="543"/>
    </row>
    <row r="209" spans="1:18" s="296" customFormat="1">
      <c r="A209" s="306" t="s">
        <v>693</v>
      </c>
      <c r="B209" s="344" t="s">
        <v>461</v>
      </c>
      <c r="C209" s="307" t="s">
        <v>1022</v>
      </c>
      <c r="D209" s="366">
        <v>0</v>
      </c>
      <c r="E209" s="366">
        <v>0</v>
      </c>
      <c r="F209" s="310">
        <v>0</v>
      </c>
      <c r="G209" s="310" t="e">
        <v>#DIV/0!</v>
      </c>
      <c r="H209" s="310"/>
      <c r="I209" s="820"/>
      <c r="J209" s="310"/>
      <c r="K209" s="310"/>
      <c r="L209" s="310"/>
      <c r="M209" s="310"/>
      <c r="N209" s="310"/>
      <c r="O209" s="806"/>
      <c r="R209" s="543"/>
    </row>
    <row r="210" spans="1:18" s="296" customFormat="1" ht="16.5" thickBot="1">
      <c r="A210" s="306">
        <v>43536</v>
      </c>
      <c r="B210" s="374" t="s">
        <v>694</v>
      </c>
      <c r="C210" s="307" t="s">
        <v>1022</v>
      </c>
      <c r="D210" s="366">
        <v>0</v>
      </c>
      <c r="E210" s="366">
        <v>0</v>
      </c>
      <c r="F210" s="310">
        <v>0</v>
      </c>
      <c r="G210" s="310" t="e">
        <v>#DIV/0!</v>
      </c>
      <c r="H210" s="310"/>
      <c r="I210" s="820"/>
      <c r="J210" s="310"/>
      <c r="K210" s="310"/>
      <c r="L210" s="310"/>
      <c r="M210" s="310"/>
      <c r="N210" s="310"/>
      <c r="O210" s="806"/>
      <c r="R210" s="543"/>
    </row>
    <row r="211" spans="1:18" s="296" customFormat="1" ht="16.5" thickBot="1">
      <c r="A211" s="297" t="s">
        <v>695</v>
      </c>
      <c r="B211" s="298" t="s">
        <v>696</v>
      </c>
      <c r="C211" s="299" t="s">
        <v>1022</v>
      </c>
      <c r="D211" s="400">
        <v>7.72</v>
      </c>
      <c r="E211" s="400">
        <v>5.65</v>
      </c>
      <c r="F211" s="397">
        <v>-2.0699999999999998</v>
      </c>
      <c r="G211" s="397" t="e">
        <v>#DIV/0!</v>
      </c>
      <c r="H211" s="397"/>
      <c r="I211" s="397"/>
      <c r="J211" s="397"/>
      <c r="K211" s="397"/>
      <c r="L211" s="397"/>
      <c r="M211" s="397"/>
      <c r="N211" s="397"/>
      <c r="O211" s="397"/>
      <c r="R211" s="543"/>
    </row>
    <row r="212" spans="1:18" s="296" customFormat="1">
      <c r="A212" s="306">
        <v>43478</v>
      </c>
      <c r="B212" s="374" t="s">
        <v>697</v>
      </c>
      <c r="C212" s="307" t="s">
        <v>1022</v>
      </c>
      <c r="D212" s="366">
        <v>7.72</v>
      </c>
      <c r="E212" s="366">
        <v>5.65</v>
      </c>
      <c r="F212" s="330">
        <v>-2.0699999999999998</v>
      </c>
      <c r="G212" s="330">
        <v>-26.8</v>
      </c>
      <c r="H212" s="330"/>
      <c r="I212" s="330"/>
      <c r="J212" s="330"/>
      <c r="K212" s="330"/>
      <c r="L212" s="330"/>
      <c r="M212" s="330"/>
      <c r="N212" s="330"/>
      <c r="O212" s="849"/>
      <c r="R212" s="543"/>
    </row>
    <row r="213" spans="1:18" s="296" customFormat="1">
      <c r="A213" s="306">
        <v>36904</v>
      </c>
      <c r="B213" s="326" t="s">
        <v>698</v>
      </c>
      <c r="C213" s="307" t="s">
        <v>1022</v>
      </c>
      <c r="D213" s="366">
        <v>7.63</v>
      </c>
      <c r="E213" s="366">
        <v>5.65</v>
      </c>
      <c r="F213" s="330">
        <v>-1.98</v>
      </c>
      <c r="G213" s="330">
        <v>-25.97</v>
      </c>
      <c r="H213" s="330"/>
      <c r="I213" s="330"/>
      <c r="J213" s="330"/>
      <c r="K213" s="330"/>
      <c r="L213" s="310"/>
      <c r="M213" s="310"/>
      <c r="N213" s="310"/>
      <c r="O213" s="860"/>
      <c r="R213" s="543"/>
    </row>
    <row r="214" spans="1:18" s="296" customFormat="1">
      <c r="A214" s="306">
        <v>37269</v>
      </c>
      <c r="B214" s="326" t="s">
        <v>699</v>
      </c>
      <c r="C214" s="307" t="s">
        <v>1022</v>
      </c>
      <c r="D214" s="366">
        <v>0</v>
      </c>
      <c r="E214" s="366">
        <v>0</v>
      </c>
      <c r="F214" s="330">
        <v>0</v>
      </c>
      <c r="G214" s="330" t="e">
        <v>#DIV/0!</v>
      </c>
      <c r="H214" s="330"/>
      <c r="I214" s="330"/>
      <c r="J214" s="330"/>
      <c r="K214" s="330"/>
      <c r="L214" s="330"/>
      <c r="M214" s="330"/>
      <c r="N214" s="330"/>
      <c r="O214" s="860"/>
      <c r="R214" s="543"/>
    </row>
    <row r="215" spans="1:18" s="296" customFormat="1" ht="31.5">
      <c r="A215" s="306">
        <v>37634</v>
      </c>
      <c r="B215" s="326" t="s">
        <v>700</v>
      </c>
      <c r="C215" s="307" t="s">
        <v>1022</v>
      </c>
      <c r="D215" s="366">
        <v>0</v>
      </c>
      <c r="E215" s="366">
        <v>0</v>
      </c>
      <c r="F215" s="330">
        <v>0</v>
      </c>
      <c r="G215" s="330" t="e">
        <v>#DIV/0!</v>
      </c>
      <c r="H215" s="310"/>
      <c r="I215" s="820"/>
      <c r="J215" s="310"/>
      <c r="K215" s="310"/>
      <c r="L215" s="310"/>
      <c r="M215" s="310"/>
      <c r="N215" s="310"/>
      <c r="O215" s="806"/>
      <c r="R215" s="543"/>
    </row>
    <row r="216" spans="1:18" s="296" customFormat="1">
      <c r="A216" s="306">
        <v>37999</v>
      </c>
      <c r="B216" s="326" t="s">
        <v>701</v>
      </c>
      <c r="C216" s="307" t="s">
        <v>1022</v>
      </c>
      <c r="D216" s="366">
        <v>0</v>
      </c>
      <c r="E216" s="366">
        <v>0</v>
      </c>
      <c r="F216" s="330">
        <v>0</v>
      </c>
      <c r="G216" s="330" t="e">
        <v>#DIV/0!</v>
      </c>
      <c r="H216" s="310"/>
      <c r="I216" s="820"/>
      <c r="J216" s="310"/>
      <c r="K216" s="310"/>
      <c r="L216" s="310"/>
      <c r="M216" s="310"/>
      <c r="N216" s="310"/>
      <c r="O216" s="806"/>
      <c r="R216" s="543"/>
    </row>
    <row r="217" spans="1:18" s="296" customFormat="1">
      <c r="A217" s="306">
        <v>38365</v>
      </c>
      <c r="B217" s="326" t="s">
        <v>702</v>
      </c>
      <c r="C217" s="307" t="s">
        <v>1022</v>
      </c>
      <c r="D217" s="366">
        <v>0</v>
      </c>
      <c r="E217" s="366">
        <v>0</v>
      </c>
      <c r="F217" s="330">
        <v>0</v>
      </c>
      <c r="G217" s="330" t="e">
        <v>#DIV/0!</v>
      </c>
      <c r="H217" s="310"/>
      <c r="I217" s="820"/>
      <c r="J217" s="310"/>
      <c r="K217" s="310"/>
      <c r="L217" s="310"/>
      <c r="M217" s="310"/>
      <c r="N217" s="310"/>
      <c r="O217" s="806"/>
      <c r="R217" s="543"/>
    </row>
    <row r="218" spans="1:18" s="296" customFormat="1">
      <c r="A218" s="306">
        <v>38730</v>
      </c>
      <c r="B218" s="326" t="s">
        <v>703</v>
      </c>
      <c r="C218" s="307" t="s">
        <v>1022</v>
      </c>
      <c r="D218" s="366">
        <v>0.09</v>
      </c>
      <c r="E218" s="366">
        <v>0</v>
      </c>
      <c r="F218" s="330">
        <v>-0.09</v>
      </c>
      <c r="G218" s="330">
        <v>-100</v>
      </c>
      <c r="H218" s="330"/>
      <c r="I218" s="330"/>
      <c r="J218" s="330"/>
      <c r="K218" s="310"/>
      <c r="L218" s="330"/>
      <c r="M218" s="310"/>
      <c r="N218" s="310"/>
      <c r="O218" s="860"/>
      <c r="R218" s="543"/>
    </row>
    <row r="219" spans="1:18" s="296" customFormat="1">
      <c r="A219" s="306">
        <v>43509</v>
      </c>
      <c r="B219" s="374" t="s">
        <v>704</v>
      </c>
      <c r="C219" s="307" t="s">
        <v>1022</v>
      </c>
      <c r="D219" s="366">
        <v>0</v>
      </c>
      <c r="E219" s="366">
        <v>0</v>
      </c>
      <c r="F219" s="330">
        <v>0</v>
      </c>
      <c r="G219" s="330" t="e">
        <v>#DIV/0!</v>
      </c>
      <c r="H219" s="310"/>
      <c r="I219" s="820"/>
      <c r="J219" s="310"/>
      <c r="K219" s="310"/>
      <c r="L219" s="310"/>
      <c r="M219" s="310"/>
      <c r="N219" s="310"/>
      <c r="O219" s="860"/>
      <c r="R219" s="543"/>
    </row>
    <row r="220" spans="1:18" s="296" customFormat="1">
      <c r="A220" s="306">
        <v>43537</v>
      </c>
      <c r="B220" s="374" t="s">
        <v>705</v>
      </c>
      <c r="C220" s="307" t="s">
        <v>1022</v>
      </c>
      <c r="D220" s="366">
        <v>0</v>
      </c>
      <c r="E220" s="366">
        <v>0</v>
      </c>
      <c r="F220" s="330">
        <v>0</v>
      </c>
      <c r="G220" s="330" t="e">
        <v>#DIV/0!</v>
      </c>
      <c r="H220" s="310"/>
      <c r="I220" s="820"/>
      <c r="J220" s="310"/>
      <c r="K220" s="310"/>
      <c r="L220" s="310"/>
      <c r="M220" s="310"/>
      <c r="N220" s="310"/>
      <c r="O220" s="860"/>
      <c r="R220" s="543"/>
    </row>
    <row r="221" spans="1:18" s="296" customFormat="1">
      <c r="A221" s="306">
        <v>43568</v>
      </c>
      <c r="B221" s="374" t="s">
        <v>198</v>
      </c>
      <c r="C221" s="307" t="s">
        <v>256</v>
      </c>
      <c r="D221" s="366">
        <v>0</v>
      </c>
      <c r="E221" s="366">
        <v>0</v>
      </c>
      <c r="F221" s="330">
        <v>0</v>
      </c>
      <c r="G221" s="330" t="e">
        <v>#DIV/0!</v>
      </c>
      <c r="H221" s="310"/>
      <c r="I221" s="310"/>
      <c r="J221" s="310"/>
      <c r="K221" s="310"/>
      <c r="L221" s="310"/>
      <c r="M221" s="310"/>
      <c r="N221" s="310"/>
      <c r="O221" s="806"/>
      <c r="R221" s="543"/>
    </row>
    <row r="222" spans="1:18" s="296" customFormat="1" ht="32.25" thickBot="1">
      <c r="A222" s="306">
        <v>36994</v>
      </c>
      <c r="B222" s="374" t="s">
        <v>706</v>
      </c>
      <c r="C222" s="307" t="s">
        <v>1022</v>
      </c>
      <c r="D222" s="366">
        <v>0</v>
      </c>
      <c r="E222" s="366">
        <v>0</v>
      </c>
      <c r="F222" s="330">
        <v>0</v>
      </c>
      <c r="G222" s="330" t="e">
        <v>#DIV/0!</v>
      </c>
      <c r="H222" s="310"/>
      <c r="I222" s="820"/>
      <c r="J222" s="310"/>
      <c r="K222" s="310"/>
      <c r="L222" s="310"/>
      <c r="M222" s="310"/>
      <c r="N222" s="310"/>
      <c r="O222" s="806"/>
      <c r="R222" s="543"/>
    </row>
    <row r="223" spans="1:18" s="296" customFormat="1" ht="16.5" thickBot="1">
      <c r="A223" s="297" t="s">
        <v>707</v>
      </c>
      <c r="B223" s="298" t="s">
        <v>708</v>
      </c>
      <c r="C223" s="299" t="s">
        <v>1022</v>
      </c>
      <c r="D223" s="400">
        <v>0</v>
      </c>
      <c r="E223" s="400">
        <v>0</v>
      </c>
      <c r="F223" s="400">
        <v>0</v>
      </c>
      <c r="G223" s="375" t="e">
        <v>#DIV/0!</v>
      </c>
      <c r="H223" s="375"/>
      <c r="I223" s="375"/>
      <c r="J223" s="375"/>
      <c r="K223" s="375"/>
      <c r="L223" s="375"/>
      <c r="M223" s="375"/>
      <c r="N223" s="375"/>
      <c r="O223" s="375"/>
      <c r="R223" s="543"/>
    </row>
    <row r="224" spans="1:18" s="296" customFormat="1" outlineLevel="1">
      <c r="A224" s="306">
        <v>43479</v>
      </c>
      <c r="B224" s="374" t="s">
        <v>709</v>
      </c>
      <c r="C224" s="307" t="s">
        <v>1022</v>
      </c>
      <c r="D224" s="366">
        <v>0</v>
      </c>
      <c r="E224" s="366">
        <v>0</v>
      </c>
      <c r="F224" s="366">
        <v>0</v>
      </c>
      <c r="G224" s="310" t="e">
        <v>#DIV/0!</v>
      </c>
      <c r="H224" s="310"/>
      <c r="I224" s="820"/>
      <c r="J224" s="310"/>
      <c r="K224" s="310"/>
      <c r="L224" s="310"/>
      <c r="M224" s="310"/>
      <c r="N224" s="310"/>
      <c r="O224" s="806"/>
      <c r="R224" s="543"/>
    </row>
    <row r="225" spans="1:18" s="296" customFormat="1" outlineLevel="1">
      <c r="A225" s="306">
        <v>43510</v>
      </c>
      <c r="B225" s="374" t="s">
        <v>1118</v>
      </c>
      <c r="C225" s="307" t="s">
        <v>1022</v>
      </c>
      <c r="D225" s="366">
        <v>0</v>
      </c>
      <c r="E225" s="366">
        <v>0</v>
      </c>
      <c r="F225" s="366">
        <v>0</v>
      </c>
      <c r="G225" s="310" t="e">
        <v>#DIV/0!</v>
      </c>
      <c r="H225" s="310"/>
      <c r="I225" s="310"/>
      <c r="J225" s="310"/>
      <c r="K225" s="310"/>
      <c r="L225" s="310"/>
      <c r="M225" s="310"/>
      <c r="N225" s="310"/>
      <c r="O225" s="806"/>
      <c r="R225" s="543"/>
    </row>
    <row r="226" spans="1:18" s="296" customFormat="1" outlineLevel="1">
      <c r="A226" s="306">
        <v>36936</v>
      </c>
      <c r="B226" s="326" t="s">
        <v>711</v>
      </c>
      <c r="C226" s="307" t="s">
        <v>1022</v>
      </c>
      <c r="D226" s="366">
        <v>0</v>
      </c>
      <c r="E226" s="366">
        <v>0</v>
      </c>
      <c r="F226" s="366">
        <v>0</v>
      </c>
      <c r="G226" s="310" t="e">
        <v>#DIV/0!</v>
      </c>
      <c r="H226" s="310"/>
      <c r="I226" s="820"/>
      <c r="J226" s="310"/>
      <c r="K226" s="310"/>
      <c r="L226" s="310"/>
      <c r="M226" s="310"/>
      <c r="N226" s="310"/>
      <c r="O226" s="806"/>
      <c r="R226" s="543"/>
    </row>
    <row r="227" spans="1:18" s="296" customFormat="1" outlineLevel="1">
      <c r="A227" s="306">
        <v>37301</v>
      </c>
      <c r="B227" s="326" t="s">
        <v>712</v>
      </c>
      <c r="C227" s="307" t="s">
        <v>1022</v>
      </c>
      <c r="D227" s="366">
        <v>0</v>
      </c>
      <c r="E227" s="366">
        <v>0</v>
      </c>
      <c r="F227" s="366">
        <v>0</v>
      </c>
      <c r="G227" s="310" t="e">
        <v>#DIV/0!</v>
      </c>
      <c r="H227" s="310"/>
      <c r="I227" s="820"/>
      <c r="J227" s="310"/>
      <c r="K227" s="310"/>
      <c r="L227" s="310"/>
      <c r="M227" s="310"/>
      <c r="N227" s="310"/>
      <c r="O227" s="806"/>
      <c r="R227" s="543"/>
    </row>
    <row r="228" spans="1:18" s="296" customFormat="1" outlineLevel="1">
      <c r="A228" s="306">
        <v>37666</v>
      </c>
      <c r="B228" s="326" t="s">
        <v>234</v>
      </c>
      <c r="C228" s="307" t="s">
        <v>1022</v>
      </c>
      <c r="D228" s="366">
        <v>0</v>
      </c>
      <c r="E228" s="366">
        <v>0</v>
      </c>
      <c r="F228" s="366">
        <v>0</v>
      </c>
      <c r="G228" s="310" t="e">
        <v>#DIV/0!</v>
      </c>
      <c r="H228" s="310"/>
      <c r="I228" s="820"/>
      <c r="J228" s="310"/>
      <c r="K228" s="310"/>
      <c r="L228" s="310"/>
      <c r="M228" s="310"/>
      <c r="N228" s="310"/>
      <c r="O228" s="806"/>
      <c r="R228" s="543"/>
    </row>
    <row r="229" spans="1:18" s="296" customFormat="1" outlineLevel="1">
      <c r="A229" s="306">
        <v>43538</v>
      </c>
      <c r="B229" s="374" t="s">
        <v>1119</v>
      </c>
      <c r="C229" s="307" t="s">
        <v>1022</v>
      </c>
      <c r="D229" s="366">
        <v>0</v>
      </c>
      <c r="E229" s="366">
        <v>0</v>
      </c>
      <c r="F229" s="366">
        <v>0</v>
      </c>
      <c r="G229" s="310" t="e">
        <v>#DIV/0!</v>
      </c>
      <c r="H229" s="310"/>
      <c r="I229" s="820"/>
      <c r="J229" s="310"/>
      <c r="K229" s="310"/>
      <c r="L229" s="310"/>
      <c r="M229" s="310"/>
      <c r="N229" s="310"/>
      <c r="O229" s="806"/>
      <c r="R229" s="543"/>
    </row>
    <row r="230" spans="1:18" s="296" customFormat="1" ht="16.5" customHeight="1" outlineLevel="1">
      <c r="A230" s="306">
        <v>43569</v>
      </c>
      <c r="B230" s="374" t="s">
        <v>714</v>
      </c>
      <c r="C230" s="307" t="s">
        <v>1022</v>
      </c>
      <c r="D230" s="366">
        <v>0</v>
      </c>
      <c r="E230" s="366">
        <v>0</v>
      </c>
      <c r="F230" s="366">
        <v>0</v>
      </c>
      <c r="G230" s="310" t="e">
        <v>#DIV/0!</v>
      </c>
      <c r="H230" s="310"/>
      <c r="I230" s="310"/>
      <c r="J230" s="310"/>
      <c r="K230" s="310"/>
      <c r="L230" s="310"/>
      <c r="M230" s="310"/>
      <c r="N230" s="310"/>
      <c r="O230" s="806"/>
      <c r="R230" s="543"/>
    </row>
    <row r="231" spans="1:18" s="296" customFormat="1" outlineLevel="1">
      <c r="A231" s="306">
        <v>36995</v>
      </c>
      <c r="B231" s="326" t="s">
        <v>715</v>
      </c>
      <c r="C231" s="307" t="s">
        <v>1022</v>
      </c>
      <c r="D231" s="366">
        <v>0</v>
      </c>
      <c r="E231" s="366">
        <v>0</v>
      </c>
      <c r="F231" s="366">
        <v>0</v>
      </c>
      <c r="G231" s="310" t="e">
        <v>#DIV/0!</v>
      </c>
      <c r="H231" s="310"/>
      <c r="I231" s="820"/>
      <c r="J231" s="310"/>
      <c r="K231" s="310"/>
      <c r="L231" s="310"/>
      <c r="M231" s="310"/>
      <c r="N231" s="310"/>
      <c r="O231" s="806"/>
      <c r="R231" s="543"/>
    </row>
    <row r="232" spans="1:18" s="296" customFormat="1" outlineLevel="1">
      <c r="A232" s="306">
        <v>37360</v>
      </c>
      <c r="B232" s="326" t="s">
        <v>716</v>
      </c>
      <c r="C232" s="307" t="s">
        <v>1022</v>
      </c>
      <c r="D232" s="366">
        <v>0</v>
      </c>
      <c r="E232" s="366">
        <v>0</v>
      </c>
      <c r="F232" s="366">
        <v>0</v>
      </c>
      <c r="G232" s="310" t="e">
        <v>#DIV/0!</v>
      </c>
      <c r="H232" s="310"/>
      <c r="I232" s="820"/>
      <c r="J232" s="310"/>
      <c r="K232" s="310"/>
      <c r="L232" s="310"/>
      <c r="M232" s="310"/>
      <c r="N232" s="310"/>
      <c r="O232" s="806"/>
      <c r="R232" s="543"/>
    </row>
    <row r="233" spans="1:18" s="296" customFormat="1" outlineLevel="1">
      <c r="A233" s="306">
        <v>43599</v>
      </c>
      <c r="B233" s="374" t="s">
        <v>717</v>
      </c>
      <c r="C233" s="307" t="s">
        <v>1022</v>
      </c>
      <c r="D233" s="366">
        <v>0</v>
      </c>
      <c r="E233" s="366">
        <v>0</v>
      </c>
      <c r="F233" s="366">
        <v>0</v>
      </c>
      <c r="G233" s="310" t="e">
        <v>#DIV/0!</v>
      </c>
      <c r="H233" s="310"/>
      <c r="I233" s="820"/>
      <c r="J233" s="310"/>
      <c r="K233" s="310"/>
      <c r="L233" s="310"/>
      <c r="M233" s="310"/>
      <c r="N233" s="310"/>
      <c r="O233" s="806"/>
      <c r="R233" s="543"/>
    </row>
    <row r="234" spans="1:18" s="296" customFormat="1" outlineLevel="1">
      <c r="A234" s="306">
        <v>43630</v>
      </c>
      <c r="B234" s="374" t="s">
        <v>718</v>
      </c>
      <c r="C234" s="307" t="s">
        <v>1022</v>
      </c>
      <c r="D234" s="366">
        <v>0</v>
      </c>
      <c r="E234" s="366">
        <v>0</v>
      </c>
      <c r="F234" s="366">
        <v>0</v>
      </c>
      <c r="G234" s="310" t="e">
        <v>#DIV/0!</v>
      </c>
      <c r="H234" s="310"/>
      <c r="I234" s="820"/>
      <c r="J234" s="310"/>
      <c r="K234" s="310"/>
      <c r="L234" s="310"/>
      <c r="M234" s="310"/>
      <c r="N234" s="310"/>
      <c r="O234" s="806"/>
      <c r="R234" s="543"/>
    </row>
    <row r="235" spans="1:18" s="296" customFormat="1" ht="16.5" outlineLevel="1" thickBot="1">
      <c r="A235" s="306">
        <v>43660</v>
      </c>
      <c r="B235" s="374" t="s">
        <v>719</v>
      </c>
      <c r="C235" s="307" t="s">
        <v>1022</v>
      </c>
      <c r="D235" s="366">
        <v>0</v>
      </c>
      <c r="E235" s="366">
        <v>0</v>
      </c>
      <c r="F235" s="366">
        <v>0</v>
      </c>
      <c r="G235" s="310" t="e">
        <v>#DIV/0!</v>
      </c>
      <c r="H235" s="310"/>
      <c r="I235" s="820"/>
      <c r="J235" s="310"/>
      <c r="K235" s="310"/>
      <c r="L235" s="310"/>
      <c r="M235" s="310"/>
      <c r="N235" s="310"/>
      <c r="O235" s="806"/>
      <c r="R235" s="543"/>
    </row>
    <row r="236" spans="1:18" s="296" customFormat="1" ht="16.5" thickBot="1">
      <c r="A236" s="297" t="s">
        <v>720</v>
      </c>
      <c r="B236" s="298" t="s">
        <v>721</v>
      </c>
      <c r="C236" s="299" t="s">
        <v>1022</v>
      </c>
      <c r="D236" s="400">
        <v>0</v>
      </c>
      <c r="E236" s="400">
        <v>0</v>
      </c>
      <c r="F236" s="400">
        <v>0</v>
      </c>
      <c r="G236" s="375" t="e">
        <v>#DIV/0!</v>
      </c>
      <c r="H236" s="375"/>
      <c r="I236" s="375"/>
      <c r="J236" s="375"/>
      <c r="K236" s="375"/>
      <c r="L236" s="375"/>
      <c r="M236" s="375"/>
      <c r="N236" s="375"/>
      <c r="O236" s="375"/>
      <c r="R236" s="543"/>
    </row>
    <row r="237" spans="1:18" s="296" customFormat="1" outlineLevel="1">
      <c r="A237" s="306">
        <v>43480</v>
      </c>
      <c r="B237" s="374" t="s">
        <v>722</v>
      </c>
      <c r="C237" s="307" t="s">
        <v>1022</v>
      </c>
      <c r="D237" s="366">
        <v>0</v>
      </c>
      <c r="E237" s="366">
        <v>0</v>
      </c>
      <c r="F237" s="366">
        <v>0</v>
      </c>
      <c r="G237" s="310" t="e">
        <v>#DIV/0!</v>
      </c>
      <c r="H237" s="310"/>
      <c r="I237" s="310"/>
      <c r="J237" s="310"/>
      <c r="K237" s="310"/>
      <c r="L237" s="310"/>
      <c r="M237" s="310"/>
      <c r="N237" s="310"/>
      <c r="O237" s="806"/>
      <c r="R237" s="543"/>
    </row>
    <row r="238" spans="1:18" s="296" customFormat="1" outlineLevel="1">
      <c r="A238" s="306">
        <v>36906</v>
      </c>
      <c r="B238" s="326" t="s">
        <v>711</v>
      </c>
      <c r="C238" s="307" t="s">
        <v>1022</v>
      </c>
      <c r="D238" s="366">
        <v>0</v>
      </c>
      <c r="E238" s="366">
        <v>0</v>
      </c>
      <c r="F238" s="366">
        <v>0</v>
      </c>
      <c r="G238" s="310" t="e">
        <v>#DIV/0!</v>
      </c>
      <c r="H238" s="310"/>
      <c r="I238" s="820"/>
      <c r="J238" s="310"/>
      <c r="K238" s="310"/>
      <c r="L238" s="310"/>
      <c r="M238" s="310"/>
      <c r="N238" s="310"/>
      <c r="O238" s="806"/>
      <c r="R238" s="543"/>
    </row>
    <row r="239" spans="1:18" s="296" customFormat="1" outlineLevel="1">
      <c r="A239" s="306">
        <v>37271</v>
      </c>
      <c r="B239" s="326" t="s">
        <v>712</v>
      </c>
      <c r="C239" s="307" t="s">
        <v>1022</v>
      </c>
      <c r="D239" s="366">
        <v>0</v>
      </c>
      <c r="E239" s="366">
        <v>0</v>
      </c>
      <c r="F239" s="366">
        <v>0</v>
      </c>
      <c r="G239" s="310" t="e">
        <v>#DIV/0!</v>
      </c>
      <c r="H239" s="310"/>
      <c r="I239" s="820"/>
      <c r="J239" s="310"/>
      <c r="K239" s="310"/>
      <c r="L239" s="310"/>
      <c r="M239" s="310"/>
      <c r="N239" s="310"/>
      <c r="O239" s="806"/>
      <c r="R239" s="543"/>
    </row>
    <row r="240" spans="1:18" s="296" customFormat="1" outlineLevel="1">
      <c r="A240" s="306">
        <v>37636</v>
      </c>
      <c r="B240" s="326" t="s">
        <v>234</v>
      </c>
      <c r="C240" s="307" t="s">
        <v>1022</v>
      </c>
      <c r="D240" s="366">
        <v>0</v>
      </c>
      <c r="E240" s="366">
        <v>0</v>
      </c>
      <c r="F240" s="366">
        <v>0</v>
      </c>
      <c r="G240" s="310" t="e">
        <v>#DIV/0!</v>
      </c>
      <c r="H240" s="310"/>
      <c r="I240" s="820"/>
      <c r="J240" s="310"/>
      <c r="K240" s="310"/>
      <c r="L240" s="310"/>
      <c r="M240" s="310"/>
      <c r="N240" s="310"/>
      <c r="O240" s="806"/>
      <c r="R240" s="543"/>
    </row>
    <row r="241" spans="1:18" s="296" customFormat="1" outlineLevel="1">
      <c r="A241" s="306">
        <v>43511</v>
      </c>
      <c r="B241" s="374" t="s">
        <v>235</v>
      </c>
      <c r="C241" s="307" t="s">
        <v>1022</v>
      </c>
      <c r="D241" s="366">
        <v>0</v>
      </c>
      <c r="E241" s="366">
        <v>0</v>
      </c>
      <c r="F241" s="366">
        <v>0</v>
      </c>
      <c r="G241" s="310" t="e">
        <v>#DIV/0!</v>
      </c>
      <c r="H241" s="310"/>
      <c r="I241" s="820"/>
      <c r="J241" s="310"/>
      <c r="K241" s="310"/>
      <c r="L241" s="310"/>
      <c r="M241" s="310"/>
      <c r="N241" s="310"/>
      <c r="O241" s="806"/>
      <c r="R241" s="543"/>
    </row>
    <row r="242" spans="1:18" s="296" customFormat="1" ht="16.5" outlineLevel="1" thickBot="1">
      <c r="A242" s="306">
        <v>43539</v>
      </c>
      <c r="B242" s="374" t="s">
        <v>236</v>
      </c>
      <c r="C242" s="307" t="s">
        <v>1022</v>
      </c>
      <c r="D242" s="366">
        <v>0</v>
      </c>
      <c r="E242" s="366">
        <v>0</v>
      </c>
      <c r="F242" s="366">
        <v>0</v>
      </c>
      <c r="G242" s="310" t="e">
        <v>#DIV/0!</v>
      </c>
      <c r="H242" s="310"/>
      <c r="I242" s="820"/>
      <c r="J242" s="310"/>
      <c r="K242" s="310"/>
      <c r="L242" s="310"/>
      <c r="M242" s="310"/>
      <c r="N242" s="310"/>
      <c r="O242" s="806"/>
      <c r="R242" s="543"/>
    </row>
    <row r="243" spans="1:18" s="296" customFormat="1" ht="32.25" thickBot="1">
      <c r="A243" s="297" t="s">
        <v>237</v>
      </c>
      <c r="B243" s="298" t="s">
        <v>1120</v>
      </c>
      <c r="C243" s="299" t="s">
        <v>1022</v>
      </c>
      <c r="D243" s="400">
        <v>10.62</v>
      </c>
      <c r="E243" s="400">
        <v>5.94</v>
      </c>
      <c r="F243" s="400">
        <v>-4.6900000000000004</v>
      </c>
      <c r="G243" s="397">
        <v>-44.12</v>
      </c>
      <c r="H243" s="397"/>
      <c r="I243" s="397"/>
      <c r="J243" s="397"/>
      <c r="K243" s="397"/>
      <c r="L243" s="397"/>
      <c r="M243" s="397"/>
      <c r="N243" s="397"/>
      <c r="O243" s="397"/>
      <c r="R243" s="543"/>
    </row>
    <row r="244" spans="1:18" s="296" customFormat="1" ht="32.25" thickBot="1">
      <c r="A244" s="297" t="s">
        <v>239</v>
      </c>
      <c r="B244" s="298" t="s">
        <v>1121</v>
      </c>
      <c r="C244" s="299" t="s">
        <v>1022</v>
      </c>
      <c r="D244" s="400">
        <v>-7.72</v>
      </c>
      <c r="E244" s="400">
        <v>-5.65</v>
      </c>
      <c r="F244" s="400">
        <v>2.0699999999999998</v>
      </c>
      <c r="G244" s="397">
        <v>-26.8</v>
      </c>
      <c r="H244" s="397"/>
      <c r="I244" s="397"/>
      <c r="J244" s="397"/>
      <c r="K244" s="397"/>
      <c r="L244" s="397"/>
      <c r="M244" s="397"/>
      <c r="N244" s="397"/>
      <c r="O244" s="397"/>
      <c r="R244" s="543"/>
    </row>
    <row r="245" spans="1:18" s="296" customFormat="1">
      <c r="A245" s="306">
        <v>43482</v>
      </c>
      <c r="B245" s="374" t="s">
        <v>241</v>
      </c>
      <c r="C245" s="307" t="s">
        <v>1022</v>
      </c>
      <c r="D245" s="366">
        <v>0</v>
      </c>
      <c r="E245" s="366">
        <v>0</v>
      </c>
      <c r="F245" s="366">
        <v>0</v>
      </c>
      <c r="G245" s="310" t="e">
        <v>#DIV/0!</v>
      </c>
      <c r="H245" s="310"/>
      <c r="I245" s="820"/>
      <c r="J245" s="310"/>
      <c r="K245" s="310"/>
      <c r="L245" s="310"/>
      <c r="M245" s="310"/>
      <c r="N245" s="310"/>
      <c r="O245" s="806"/>
      <c r="R245" s="543"/>
    </row>
    <row r="246" spans="1:18" s="296" customFormat="1" ht="16.5" thickBot="1">
      <c r="A246" s="306">
        <v>43513</v>
      </c>
      <c r="B246" s="374" t="s">
        <v>242</v>
      </c>
      <c r="C246" s="307" t="s">
        <v>1022</v>
      </c>
      <c r="D246" s="366">
        <v>0</v>
      </c>
      <c r="E246" s="366">
        <v>0</v>
      </c>
      <c r="F246" s="366">
        <v>0</v>
      </c>
      <c r="G246" s="310" t="e">
        <v>#DIV/0!</v>
      </c>
      <c r="H246" s="310"/>
      <c r="I246" s="820"/>
      <c r="J246" s="310"/>
      <c r="K246" s="310"/>
      <c r="L246" s="310"/>
      <c r="M246" s="310"/>
      <c r="N246" s="310"/>
      <c r="O246" s="806"/>
      <c r="R246" s="543"/>
    </row>
    <row r="247" spans="1:18" s="296" customFormat="1" ht="32.25" thickBot="1">
      <c r="A247" s="297" t="s">
        <v>243</v>
      </c>
      <c r="B247" s="403" t="s">
        <v>1122</v>
      </c>
      <c r="C247" s="299" t="s">
        <v>1022</v>
      </c>
      <c r="D247" s="404">
        <v>0</v>
      </c>
      <c r="E247" s="404">
        <v>0</v>
      </c>
      <c r="F247" s="404">
        <v>0</v>
      </c>
      <c r="G247" s="405" t="e">
        <v>#DIV/0!</v>
      </c>
      <c r="H247" s="405"/>
      <c r="I247" s="405"/>
      <c r="J247" s="405"/>
      <c r="K247" s="405"/>
      <c r="L247" s="405"/>
      <c r="M247" s="405"/>
      <c r="N247" s="405"/>
      <c r="O247" s="861"/>
      <c r="R247" s="543"/>
    </row>
    <row r="248" spans="1:18" s="296" customFormat="1">
      <c r="A248" s="306">
        <v>43483</v>
      </c>
      <c r="B248" s="374" t="s">
        <v>245</v>
      </c>
      <c r="C248" s="307" t="s">
        <v>1022</v>
      </c>
      <c r="D248" s="366">
        <v>0</v>
      </c>
      <c r="E248" s="366">
        <v>0</v>
      </c>
      <c r="F248" s="366">
        <v>0</v>
      </c>
      <c r="G248" s="310" t="e">
        <v>#DIV/0!</v>
      </c>
      <c r="H248" s="310"/>
      <c r="I248" s="820"/>
      <c r="J248" s="310"/>
      <c r="K248" s="310"/>
      <c r="L248" s="310"/>
      <c r="M248" s="310"/>
      <c r="N248" s="310"/>
      <c r="O248" s="806"/>
      <c r="R248" s="543"/>
    </row>
    <row r="249" spans="1:18" s="296" customFormat="1" ht="16.5" thickBot="1">
      <c r="A249" s="306">
        <v>43514</v>
      </c>
      <c r="B249" s="374" t="s">
        <v>246</v>
      </c>
      <c r="C249" s="307" t="s">
        <v>1022</v>
      </c>
      <c r="D249" s="366">
        <v>0</v>
      </c>
      <c r="E249" s="366">
        <v>0</v>
      </c>
      <c r="F249" s="366">
        <v>0</v>
      </c>
      <c r="G249" s="310" t="e">
        <v>#DIV/0!</v>
      </c>
      <c r="H249" s="310"/>
      <c r="I249" s="820"/>
      <c r="J249" s="310"/>
      <c r="K249" s="310"/>
      <c r="L249" s="310"/>
      <c r="M249" s="310"/>
      <c r="N249" s="310"/>
      <c r="O249" s="806"/>
      <c r="R249" s="543"/>
    </row>
    <row r="250" spans="1:18" s="296" customFormat="1" ht="16.5" thickBot="1">
      <c r="A250" s="297" t="s">
        <v>247</v>
      </c>
      <c r="B250" s="298" t="s">
        <v>248</v>
      </c>
      <c r="C250" s="299" t="s">
        <v>1022</v>
      </c>
      <c r="D250" s="400">
        <v>0</v>
      </c>
      <c r="E250" s="406">
        <v>0</v>
      </c>
      <c r="F250" s="400">
        <v>0</v>
      </c>
      <c r="G250" s="377" t="e">
        <v>#DIV/0!</v>
      </c>
      <c r="H250" s="407"/>
      <c r="I250" s="376"/>
      <c r="J250" s="375"/>
      <c r="K250" s="377"/>
      <c r="L250" s="375"/>
      <c r="M250" s="375"/>
      <c r="N250" s="377"/>
      <c r="O250" s="375"/>
      <c r="R250" s="543"/>
    </row>
    <row r="251" spans="1:18" s="296" customFormat="1" ht="32.25" thickBot="1">
      <c r="A251" s="297" t="s">
        <v>249</v>
      </c>
      <c r="B251" s="298" t="s">
        <v>1123</v>
      </c>
      <c r="C251" s="299" t="s">
        <v>1022</v>
      </c>
      <c r="D251" s="397">
        <v>2.9</v>
      </c>
      <c r="E251" s="397">
        <v>0.28000000000000003</v>
      </c>
      <c r="F251" s="397">
        <v>-2.62</v>
      </c>
      <c r="G251" s="408">
        <v>-90.2</v>
      </c>
      <c r="H251" s="397"/>
      <c r="I251" s="397"/>
      <c r="J251" s="397"/>
      <c r="K251" s="397"/>
      <c r="L251" s="397"/>
      <c r="M251" s="397"/>
      <c r="N251" s="397"/>
      <c r="O251" s="397"/>
      <c r="R251" s="543"/>
    </row>
    <row r="252" spans="1:18" s="296" customFormat="1" ht="16.5" thickBot="1">
      <c r="A252" s="297" t="s">
        <v>251</v>
      </c>
      <c r="B252" s="298" t="s">
        <v>252</v>
      </c>
      <c r="C252" s="299" t="s">
        <v>1022</v>
      </c>
      <c r="D252" s="397">
        <v>0.04</v>
      </c>
      <c r="E252" s="397">
        <v>0.04</v>
      </c>
      <c r="F252" s="397">
        <v>0</v>
      </c>
      <c r="G252" s="377">
        <v>0</v>
      </c>
      <c r="H252" s="409"/>
      <c r="I252" s="397"/>
      <c r="J252" s="409"/>
      <c r="K252" s="397"/>
      <c r="L252" s="409"/>
      <c r="M252" s="397"/>
      <c r="N252" s="409"/>
      <c r="O252" s="397"/>
      <c r="R252" s="543"/>
    </row>
    <row r="253" spans="1:18" s="296" customFormat="1" ht="16.5" thickBot="1">
      <c r="A253" s="297" t="s">
        <v>253</v>
      </c>
      <c r="B253" s="298" t="s">
        <v>254</v>
      </c>
      <c r="C253" s="299" t="s">
        <v>1022</v>
      </c>
      <c r="D253" s="397">
        <v>2.95</v>
      </c>
      <c r="E253" s="397">
        <v>0.33</v>
      </c>
      <c r="F253" s="397">
        <v>-2.62</v>
      </c>
      <c r="G253" s="410">
        <v>-89</v>
      </c>
      <c r="H253" s="397"/>
      <c r="I253" s="397"/>
      <c r="J253" s="397"/>
      <c r="K253" s="397"/>
      <c r="L253" s="397"/>
      <c r="M253" s="397"/>
      <c r="N253" s="397"/>
      <c r="O253" s="375"/>
      <c r="R253" s="543"/>
    </row>
    <row r="254" spans="1:18" s="296" customFormat="1" ht="16.5" thickBot="1">
      <c r="A254" s="297" t="s">
        <v>255</v>
      </c>
      <c r="B254" s="298" t="s">
        <v>198</v>
      </c>
      <c r="C254" s="299" t="s">
        <v>256</v>
      </c>
      <c r="D254" s="400">
        <v>0</v>
      </c>
      <c r="E254" s="406">
        <v>0</v>
      </c>
      <c r="F254" s="400">
        <v>0</v>
      </c>
      <c r="G254" s="377" t="e">
        <v>#DIV/0!</v>
      </c>
      <c r="H254" s="407"/>
      <c r="I254" s="376"/>
      <c r="J254" s="375"/>
      <c r="K254" s="377"/>
      <c r="L254" s="375"/>
      <c r="M254" s="375"/>
      <c r="N254" s="377"/>
      <c r="O254" s="375"/>
      <c r="R254" s="543"/>
    </row>
    <row r="255" spans="1:18" s="296" customFormat="1">
      <c r="A255" s="306">
        <v>43488</v>
      </c>
      <c r="B255" s="374" t="s">
        <v>257</v>
      </c>
      <c r="C255" s="307" t="s">
        <v>1022</v>
      </c>
      <c r="D255" s="330">
        <v>0</v>
      </c>
      <c r="E255" s="411">
        <v>42.36</v>
      </c>
      <c r="F255" s="330">
        <v>42.36</v>
      </c>
      <c r="G255" s="411" t="e">
        <v>#DIV/0!</v>
      </c>
      <c r="H255" s="330"/>
      <c r="I255" s="330"/>
      <c r="J255" s="330"/>
      <c r="K255" s="330"/>
      <c r="L255" s="330"/>
      <c r="M255" s="330"/>
      <c r="N255" s="330"/>
      <c r="O255" s="862"/>
      <c r="R255" s="543"/>
    </row>
    <row r="256" spans="1:18" s="296" customFormat="1" ht="31.5" outlineLevel="1">
      <c r="A256" s="306">
        <v>36914</v>
      </c>
      <c r="B256" s="326" t="s">
        <v>1124</v>
      </c>
      <c r="C256" s="307" t="s">
        <v>1022</v>
      </c>
      <c r="D256" s="366">
        <v>0</v>
      </c>
      <c r="E256" s="366">
        <v>0</v>
      </c>
      <c r="F256" s="330">
        <v>0</v>
      </c>
      <c r="G256" s="411" t="e">
        <v>#DIV/0!</v>
      </c>
      <c r="H256" s="310"/>
      <c r="I256" s="820"/>
      <c r="J256" s="310"/>
      <c r="K256" s="310"/>
      <c r="L256" s="310"/>
      <c r="M256" s="310"/>
      <c r="N256" s="310"/>
      <c r="O256" s="806"/>
      <c r="R256" s="543"/>
    </row>
    <row r="257" spans="1:18" s="296" customFormat="1" outlineLevel="1">
      <c r="A257" s="306" t="s">
        <v>259</v>
      </c>
      <c r="B257" s="344" t="s">
        <v>260</v>
      </c>
      <c r="C257" s="307" t="s">
        <v>1022</v>
      </c>
      <c r="D257" s="366">
        <v>0</v>
      </c>
      <c r="E257" s="366">
        <v>0</v>
      </c>
      <c r="F257" s="330">
        <v>0</v>
      </c>
      <c r="G257" s="411" t="e">
        <v>#DIV/0!</v>
      </c>
      <c r="H257" s="310"/>
      <c r="I257" s="820"/>
      <c r="J257" s="310"/>
      <c r="K257" s="310"/>
      <c r="L257" s="310"/>
      <c r="M257" s="310"/>
      <c r="N257" s="310"/>
      <c r="O257" s="806"/>
      <c r="R257" s="543"/>
    </row>
    <row r="258" spans="1:18" s="296" customFormat="1" ht="31.5" outlineLevel="1">
      <c r="A258" s="306" t="s">
        <v>261</v>
      </c>
      <c r="B258" s="344" t="s">
        <v>1125</v>
      </c>
      <c r="C258" s="307" t="s">
        <v>1022</v>
      </c>
      <c r="D258" s="366">
        <v>0</v>
      </c>
      <c r="E258" s="366">
        <v>0</v>
      </c>
      <c r="F258" s="330">
        <v>0</v>
      </c>
      <c r="G258" s="411" t="e">
        <v>#DIV/0!</v>
      </c>
      <c r="H258" s="310"/>
      <c r="I258" s="820"/>
      <c r="J258" s="310"/>
      <c r="K258" s="310"/>
      <c r="L258" s="310"/>
      <c r="M258" s="310"/>
      <c r="N258" s="310"/>
      <c r="O258" s="806"/>
      <c r="R258" s="543"/>
    </row>
    <row r="259" spans="1:18" s="296" customFormat="1" outlineLevel="1">
      <c r="A259" s="306" t="s">
        <v>262</v>
      </c>
      <c r="B259" s="349" t="s">
        <v>260</v>
      </c>
      <c r="C259" s="307" t="s">
        <v>1022</v>
      </c>
      <c r="D259" s="366">
        <v>0</v>
      </c>
      <c r="E259" s="366">
        <v>0</v>
      </c>
      <c r="F259" s="330">
        <v>0</v>
      </c>
      <c r="G259" s="411" t="e">
        <v>#DIV/0!</v>
      </c>
      <c r="H259" s="310"/>
      <c r="I259" s="820"/>
      <c r="J259" s="310"/>
      <c r="K259" s="310"/>
      <c r="L259" s="310"/>
      <c r="M259" s="310"/>
      <c r="N259" s="310"/>
      <c r="O259" s="806"/>
      <c r="R259" s="543"/>
    </row>
    <row r="260" spans="1:18" s="296" customFormat="1" ht="31.5" outlineLevel="1">
      <c r="A260" s="306" t="s">
        <v>263</v>
      </c>
      <c r="B260" s="344" t="s">
        <v>149</v>
      </c>
      <c r="C260" s="307" t="s">
        <v>1022</v>
      </c>
      <c r="D260" s="366">
        <v>0</v>
      </c>
      <c r="E260" s="366">
        <v>0</v>
      </c>
      <c r="F260" s="330">
        <v>0</v>
      </c>
      <c r="G260" s="411" t="e">
        <v>#DIV/0!</v>
      </c>
      <c r="H260" s="310"/>
      <c r="I260" s="820"/>
      <c r="J260" s="310"/>
      <c r="K260" s="310"/>
      <c r="L260" s="310"/>
      <c r="M260" s="310"/>
      <c r="N260" s="310"/>
      <c r="O260" s="806"/>
      <c r="R260" s="543"/>
    </row>
    <row r="261" spans="1:18" s="296" customFormat="1" outlineLevel="1">
      <c r="A261" s="306" t="s">
        <v>264</v>
      </c>
      <c r="B261" s="349" t="s">
        <v>260</v>
      </c>
      <c r="C261" s="307" t="s">
        <v>1022</v>
      </c>
      <c r="D261" s="366">
        <v>0</v>
      </c>
      <c r="E261" s="366">
        <v>0</v>
      </c>
      <c r="F261" s="330">
        <v>0</v>
      </c>
      <c r="G261" s="411" t="e">
        <v>#DIV/0!</v>
      </c>
      <c r="H261" s="310"/>
      <c r="I261" s="820"/>
      <c r="J261" s="310"/>
      <c r="K261" s="310"/>
      <c r="L261" s="310"/>
      <c r="M261" s="310"/>
      <c r="N261" s="310"/>
      <c r="O261" s="806"/>
      <c r="R261" s="543"/>
    </row>
    <row r="262" spans="1:18" s="296" customFormat="1" ht="31.5" outlineLevel="1">
      <c r="A262" s="306" t="s">
        <v>265</v>
      </c>
      <c r="B262" s="344" t="s">
        <v>150</v>
      </c>
      <c r="C262" s="307" t="s">
        <v>1022</v>
      </c>
      <c r="D262" s="366">
        <v>0</v>
      </c>
      <c r="E262" s="366">
        <v>0</v>
      </c>
      <c r="F262" s="330">
        <v>0</v>
      </c>
      <c r="G262" s="411" t="e">
        <v>#DIV/0!</v>
      </c>
      <c r="H262" s="310"/>
      <c r="I262" s="820"/>
      <c r="J262" s="310"/>
      <c r="K262" s="863"/>
      <c r="L262" s="310"/>
      <c r="M262" s="310"/>
      <c r="N262" s="310"/>
      <c r="O262" s="806"/>
      <c r="R262" s="543"/>
    </row>
    <row r="263" spans="1:18" s="296" customFormat="1" outlineLevel="1">
      <c r="A263" s="306" t="s">
        <v>266</v>
      </c>
      <c r="B263" s="349" t="s">
        <v>260</v>
      </c>
      <c r="C263" s="307" t="s">
        <v>1022</v>
      </c>
      <c r="D263" s="366">
        <v>0</v>
      </c>
      <c r="E263" s="366">
        <v>0</v>
      </c>
      <c r="F263" s="330">
        <v>0</v>
      </c>
      <c r="G263" s="411" t="e">
        <v>#DIV/0!</v>
      </c>
      <c r="H263" s="310"/>
      <c r="I263" s="820"/>
      <c r="J263" s="310"/>
      <c r="K263" s="863"/>
      <c r="L263" s="310"/>
      <c r="M263" s="310"/>
      <c r="N263" s="310"/>
      <c r="O263" s="806"/>
      <c r="R263" s="543"/>
    </row>
    <row r="264" spans="1:18" s="296" customFormat="1" outlineLevel="1">
      <c r="A264" s="306">
        <v>37279</v>
      </c>
      <c r="B264" s="326" t="s">
        <v>267</v>
      </c>
      <c r="C264" s="307" t="s">
        <v>1022</v>
      </c>
      <c r="D264" s="366">
        <v>0</v>
      </c>
      <c r="E264" s="366">
        <v>0</v>
      </c>
      <c r="F264" s="330">
        <v>0</v>
      </c>
      <c r="G264" s="411" t="e">
        <v>#DIV/0!</v>
      </c>
      <c r="H264" s="310"/>
      <c r="I264" s="820"/>
      <c r="J264" s="310"/>
      <c r="K264" s="863"/>
      <c r="L264" s="310"/>
      <c r="M264" s="310"/>
      <c r="N264" s="310"/>
      <c r="O264" s="806"/>
      <c r="R264" s="543"/>
    </row>
    <row r="265" spans="1:18" s="296" customFormat="1" outlineLevel="1">
      <c r="A265" s="306" t="s">
        <v>268</v>
      </c>
      <c r="B265" s="344" t="s">
        <v>260</v>
      </c>
      <c r="C265" s="307" t="s">
        <v>1022</v>
      </c>
      <c r="D265" s="366">
        <v>0</v>
      </c>
      <c r="E265" s="366">
        <v>0</v>
      </c>
      <c r="F265" s="330">
        <v>0</v>
      </c>
      <c r="G265" s="411" t="e">
        <v>#DIV/0!</v>
      </c>
      <c r="H265" s="310"/>
      <c r="I265" s="820"/>
      <c r="J265" s="310"/>
      <c r="K265" s="863"/>
      <c r="L265" s="310"/>
      <c r="M265" s="310"/>
      <c r="N265" s="310"/>
      <c r="O265" s="806"/>
      <c r="R265" s="543"/>
    </row>
    <row r="266" spans="1:18" s="296" customFormat="1" outlineLevel="1">
      <c r="A266" s="306">
        <v>37644</v>
      </c>
      <c r="B266" s="324" t="s">
        <v>269</v>
      </c>
      <c r="C266" s="307" t="s">
        <v>1022</v>
      </c>
      <c r="D266" s="366">
        <v>0</v>
      </c>
      <c r="E266" s="366">
        <v>27.04</v>
      </c>
      <c r="F266" s="330">
        <v>27.04</v>
      </c>
      <c r="G266" s="411" t="e">
        <v>#DIV/0!</v>
      </c>
      <c r="H266" s="330"/>
      <c r="I266" s="853"/>
      <c r="J266" s="412"/>
      <c r="K266" s="853"/>
      <c r="L266" s="310"/>
      <c r="M266" s="310"/>
      <c r="N266" s="310"/>
      <c r="O266" s="864"/>
      <c r="R266" s="543"/>
    </row>
    <row r="267" spans="1:18" s="296" customFormat="1" outlineLevel="1">
      <c r="A267" s="306" t="s">
        <v>270</v>
      </c>
      <c r="B267" s="344" t="s">
        <v>260</v>
      </c>
      <c r="C267" s="307" t="s">
        <v>1022</v>
      </c>
      <c r="D267" s="366">
        <v>0</v>
      </c>
      <c r="E267" s="366">
        <v>17.84</v>
      </c>
      <c r="F267" s="330">
        <v>17.84</v>
      </c>
      <c r="G267" s="411" t="e">
        <v>#DIV/0!</v>
      </c>
      <c r="H267" s="330"/>
      <c r="I267" s="853"/>
      <c r="J267" s="413"/>
      <c r="K267" s="865"/>
      <c r="L267" s="310"/>
      <c r="M267" s="310"/>
      <c r="N267" s="310"/>
      <c r="O267" s="864"/>
      <c r="R267" s="543"/>
    </row>
    <row r="268" spans="1:18" s="296" customFormat="1" outlineLevel="1">
      <c r="A268" s="306">
        <v>38009</v>
      </c>
      <c r="B268" s="324" t="s">
        <v>271</v>
      </c>
      <c r="C268" s="307" t="s">
        <v>1022</v>
      </c>
      <c r="D268" s="366">
        <v>0</v>
      </c>
      <c r="E268" s="366">
        <v>0</v>
      </c>
      <c r="F268" s="330">
        <v>0</v>
      </c>
      <c r="G268" s="411" t="e">
        <v>#DIV/0!</v>
      </c>
      <c r="H268" s="310"/>
      <c r="I268" s="853"/>
      <c r="J268" s="413"/>
      <c r="K268" s="865"/>
      <c r="L268" s="310"/>
      <c r="M268" s="310"/>
      <c r="N268" s="310"/>
      <c r="O268" s="806"/>
      <c r="R268" s="543"/>
    </row>
    <row r="269" spans="1:18" s="296" customFormat="1" outlineLevel="1">
      <c r="A269" s="306" t="s">
        <v>272</v>
      </c>
      <c r="B269" s="344" t="s">
        <v>260</v>
      </c>
      <c r="C269" s="307" t="s">
        <v>1022</v>
      </c>
      <c r="D269" s="366">
        <v>0</v>
      </c>
      <c r="E269" s="366">
        <v>0</v>
      </c>
      <c r="F269" s="330">
        <v>0</v>
      </c>
      <c r="G269" s="411" t="e">
        <v>#DIV/0!</v>
      </c>
      <c r="H269" s="310"/>
      <c r="I269" s="853"/>
      <c r="J269" s="413"/>
      <c r="K269" s="865"/>
      <c r="L269" s="310"/>
      <c r="M269" s="310"/>
      <c r="N269" s="310"/>
      <c r="O269" s="806"/>
      <c r="R269" s="543"/>
    </row>
    <row r="270" spans="1:18" s="296" customFormat="1" outlineLevel="1">
      <c r="A270" s="306">
        <v>38375</v>
      </c>
      <c r="B270" s="324" t="s">
        <v>273</v>
      </c>
      <c r="C270" s="307" t="s">
        <v>1022</v>
      </c>
      <c r="D270" s="366">
        <v>0</v>
      </c>
      <c r="E270" s="366">
        <v>0</v>
      </c>
      <c r="F270" s="330">
        <v>0</v>
      </c>
      <c r="G270" s="411" t="e">
        <v>#DIV/0!</v>
      </c>
      <c r="H270" s="310"/>
      <c r="I270" s="853"/>
      <c r="J270" s="412"/>
      <c r="K270" s="853"/>
      <c r="L270" s="310"/>
      <c r="M270" s="310"/>
      <c r="N270" s="310"/>
      <c r="O270" s="806"/>
      <c r="R270" s="543"/>
    </row>
    <row r="271" spans="1:18" s="296" customFormat="1" outlineLevel="1">
      <c r="A271" s="306" t="s">
        <v>274</v>
      </c>
      <c r="B271" s="344" t="s">
        <v>260</v>
      </c>
      <c r="C271" s="307" t="s">
        <v>1022</v>
      </c>
      <c r="D271" s="366">
        <v>0</v>
      </c>
      <c r="E271" s="366">
        <v>0</v>
      </c>
      <c r="F271" s="330">
        <v>0</v>
      </c>
      <c r="G271" s="411" t="e">
        <v>#DIV/0!</v>
      </c>
      <c r="H271" s="310"/>
      <c r="I271" s="820"/>
      <c r="J271" s="310"/>
      <c r="K271" s="863"/>
      <c r="L271" s="310"/>
      <c r="M271" s="310"/>
      <c r="N271" s="310"/>
      <c r="O271" s="806"/>
      <c r="R271" s="543"/>
    </row>
    <row r="272" spans="1:18" s="296" customFormat="1" ht="15.75" customHeight="1" outlineLevel="1">
      <c r="A272" s="306">
        <v>38740</v>
      </c>
      <c r="B272" s="324" t="s">
        <v>275</v>
      </c>
      <c r="C272" s="307" t="s">
        <v>1022</v>
      </c>
      <c r="D272" s="366">
        <v>0</v>
      </c>
      <c r="E272" s="366">
        <v>0</v>
      </c>
      <c r="F272" s="330">
        <v>0</v>
      </c>
      <c r="G272" s="411" t="e">
        <v>#DIV/0!</v>
      </c>
      <c r="H272" s="310"/>
      <c r="I272" s="820"/>
      <c r="J272" s="310"/>
      <c r="K272" s="863"/>
      <c r="L272" s="310"/>
      <c r="M272" s="310"/>
      <c r="N272" s="310"/>
      <c r="O272" s="806"/>
      <c r="R272" s="543"/>
    </row>
    <row r="273" spans="1:18" s="296" customFormat="1" outlineLevel="1">
      <c r="A273" s="306" t="s">
        <v>276</v>
      </c>
      <c r="B273" s="344" t="s">
        <v>260</v>
      </c>
      <c r="C273" s="307" t="s">
        <v>1022</v>
      </c>
      <c r="D273" s="366">
        <v>0</v>
      </c>
      <c r="E273" s="366">
        <v>0</v>
      </c>
      <c r="F273" s="330">
        <v>0</v>
      </c>
      <c r="G273" s="411" t="e">
        <v>#DIV/0!</v>
      </c>
      <c r="H273" s="310"/>
      <c r="I273" s="820"/>
      <c r="J273" s="310"/>
      <c r="K273" s="863"/>
      <c r="L273" s="310"/>
      <c r="M273" s="310"/>
      <c r="N273" s="310"/>
      <c r="O273" s="806"/>
      <c r="R273" s="543"/>
    </row>
    <row r="274" spans="1:18" s="296" customFormat="1" outlineLevel="1">
      <c r="A274" s="306">
        <v>39105</v>
      </c>
      <c r="B274" s="324" t="s">
        <v>277</v>
      </c>
      <c r="C274" s="307" t="s">
        <v>1022</v>
      </c>
      <c r="D274" s="366">
        <v>0</v>
      </c>
      <c r="E274" s="366">
        <v>0</v>
      </c>
      <c r="F274" s="330">
        <v>0</v>
      </c>
      <c r="G274" s="411" t="e">
        <v>#DIV/0!</v>
      </c>
      <c r="H274" s="310"/>
      <c r="I274" s="820"/>
      <c r="J274" s="310"/>
      <c r="K274" s="310"/>
      <c r="L274" s="310"/>
      <c r="M274" s="310"/>
      <c r="N274" s="310"/>
      <c r="O274" s="806"/>
      <c r="R274" s="543"/>
    </row>
    <row r="275" spans="1:18" s="296" customFormat="1" outlineLevel="1">
      <c r="A275" s="306" t="s">
        <v>278</v>
      </c>
      <c r="B275" s="344" t="s">
        <v>260</v>
      </c>
      <c r="C275" s="307" t="s">
        <v>1022</v>
      </c>
      <c r="D275" s="366">
        <v>0</v>
      </c>
      <c r="E275" s="366">
        <v>0</v>
      </c>
      <c r="F275" s="330">
        <v>0</v>
      </c>
      <c r="G275" s="411" t="e">
        <v>#DIV/0!</v>
      </c>
      <c r="H275" s="310"/>
      <c r="I275" s="820"/>
      <c r="J275" s="310"/>
      <c r="K275" s="310"/>
      <c r="L275" s="310"/>
      <c r="M275" s="310"/>
      <c r="N275" s="310"/>
      <c r="O275" s="806"/>
      <c r="R275" s="543"/>
    </row>
    <row r="276" spans="1:18" s="296" customFormat="1" ht="31.5" outlineLevel="1">
      <c r="A276" s="306">
        <v>39470</v>
      </c>
      <c r="B276" s="326" t="s">
        <v>279</v>
      </c>
      <c r="C276" s="307" t="s">
        <v>1022</v>
      </c>
      <c r="D276" s="366">
        <v>0</v>
      </c>
      <c r="E276" s="366">
        <v>0</v>
      </c>
      <c r="F276" s="330">
        <v>0</v>
      </c>
      <c r="G276" s="411" t="e">
        <v>#DIV/0!</v>
      </c>
      <c r="H276" s="310"/>
      <c r="I276" s="820"/>
      <c r="J276" s="310"/>
      <c r="K276" s="310"/>
      <c r="L276" s="310"/>
      <c r="M276" s="310"/>
      <c r="N276" s="310"/>
      <c r="O276" s="806"/>
      <c r="R276" s="543"/>
    </row>
    <row r="277" spans="1:18" s="296" customFormat="1" outlineLevel="1">
      <c r="A277" s="306" t="s">
        <v>280</v>
      </c>
      <c r="B277" s="344" t="s">
        <v>260</v>
      </c>
      <c r="C277" s="307" t="s">
        <v>1022</v>
      </c>
      <c r="D277" s="366">
        <v>0</v>
      </c>
      <c r="E277" s="366">
        <v>0</v>
      </c>
      <c r="F277" s="330">
        <v>0</v>
      </c>
      <c r="G277" s="411" t="e">
        <v>#DIV/0!</v>
      </c>
      <c r="H277" s="310"/>
      <c r="I277" s="820"/>
      <c r="J277" s="310"/>
      <c r="K277" s="310"/>
      <c r="L277" s="310"/>
      <c r="M277" s="310"/>
      <c r="N277" s="310"/>
      <c r="O277" s="806"/>
      <c r="R277" s="543"/>
    </row>
    <row r="278" spans="1:18" s="296" customFormat="1" outlineLevel="1">
      <c r="A278" s="306" t="s">
        <v>281</v>
      </c>
      <c r="B278" s="344" t="s">
        <v>1108</v>
      </c>
      <c r="C278" s="307" t="s">
        <v>1022</v>
      </c>
      <c r="D278" s="366">
        <v>0</v>
      </c>
      <c r="E278" s="366">
        <v>0</v>
      </c>
      <c r="F278" s="330">
        <v>0</v>
      </c>
      <c r="G278" s="411" t="e">
        <v>#DIV/0!</v>
      </c>
      <c r="H278" s="310"/>
      <c r="I278" s="820"/>
      <c r="J278" s="310"/>
      <c r="K278" s="310"/>
      <c r="L278" s="310"/>
      <c r="M278" s="310"/>
      <c r="N278" s="310"/>
      <c r="O278" s="806"/>
      <c r="R278" s="543"/>
    </row>
    <row r="279" spans="1:18" s="296" customFormat="1" outlineLevel="1">
      <c r="A279" s="306" t="s">
        <v>282</v>
      </c>
      <c r="B279" s="349" t="s">
        <v>260</v>
      </c>
      <c r="C279" s="307" t="s">
        <v>1022</v>
      </c>
      <c r="D279" s="366">
        <v>0</v>
      </c>
      <c r="E279" s="366">
        <v>0</v>
      </c>
      <c r="F279" s="330">
        <v>0</v>
      </c>
      <c r="G279" s="411" t="e">
        <v>#DIV/0!</v>
      </c>
      <c r="H279" s="310"/>
      <c r="I279" s="820"/>
      <c r="J279" s="310"/>
      <c r="K279" s="310"/>
      <c r="L279" s="310"/>
      <c r="M279" s="310"/>
      <c r="N279" s="310"/>
      <c r="O279" s="806"/>
      <c r="R279" s="543"/>
    </row>
    <row r="280" spans="1:18" s="296" customFormat="1" outlineLevel="1">
      <c r="A280" s="306" t="s">
        <v>283</v>
      </c>
      <c r="B280" s="344" t="s">
        <v>159</v>
      </c>
      <c r="C280" s="307" t="s">
        <v>1022</v>
      </c>
      <c r="D280" s="366">
        <v>0</v>
      </c>
      <c r="E280" s="366">
        <v>0</v>
      </c>
      <c r="F280" s="330">
        <v>0</v>
      </c>
      <c r="G280" s="411" t="e">
        <v>#DIV/0!</v>
      </c>
      <c r="H280" s="310"/>
      <c r="I280" s="820"/>
      <c r="J280" s="310"/>
      <c r="K280" s="310"/>
      <c r="L280" s="310"/>
      <c r="M280" s="310"/>
      <c r="N280" s="310"/>
      <c r="O280" s="806"/>
      <c r="R280" s="543"/>
    </row>
    <row r="281" spans="1:18" s="296" customFormat="1" outlineLevel="1">
      <c r="A281" s="306" t="s">
        <v>284</v>
      </c>
      <c r="B281" s="349" t="s">
        <v>260</v>
      </c>
      <c r="C281" s="307" t="s">
        <v>1022</v>
      </c>
      <c r="D281" s="366">
        <v>0</v>
      </c>
      <c r="E281" s="366">
        <v>0</v>
      </c>
      <c r="F281" s="330">
        <v>0</v>
      </c>
      <c r="G281" s="411" t="e">
        <v>#DIV/0!</v>
      </c>
      <c r="H281" s="310"/>
      <c r="I281" s="820"/>
      <c r="J281" s="310"/>
      <c r="K281" s="310"/>
      <c r="L281" s="310"/>
      <c r="M281" s="310"/>
      <c r="N281" s="310"/>
      <c r="O281" s="806"/>
      <c r="R281" s="543"/>
    </row>
    <row r="282" spans="1:18" s="296" customFormat="1" outlineLevel="1">
      <c r="A282" s="306">
        <v>39836</v>
      </c>
      <c r="B282" s="326" t="s">
        <v>285</v>
      </c>
      <c r="C282" s="307" t="s">
        <v>1022</v>
      </c>
      <c r="D282" s="366">
        <v>0</v>
      </c>
      <c r="E282" s="366">
        <v>15.32</v>
      </c>
      <c r="F282" s="330">
        <v>15.32</v>
      </c>
      <c r="G282" s="411" t="e">
        <v>#DIV/0!</v>
      </c>
      <c r="H282" s="330"/>
      <c r="I282" s="330"/>
      <c r="J282" s="330"/>
      <c r="K282" s="330"/>
      <c r="L282" s="310"/>
      <c r="M282" s="310"/>
      <c r="N282" s="310"/>
      <c r="O282" s="864"/>
      <c r="R282" s="543"/>
    </row>
    <row r="283" spans="1:18" s="296" customFormat="1" outlineLevel="1">
      <c r="A283" s="306" t="s">
        <v>286</v>
      </c>
      <c r="B283" s="344" t="s">
        <v>260</v>
      </c>
      <c r="C283" s="307" t="s">
        <v>1022</v>
      </c>
      <c r="D283" s="366">
        <v>0</v>
      </c>
      <c r="E283" s="366">
        <v>0</v>
      </c>
      <c r="F283" s="330">
        <v>0</v>
      </c>
      <c r="G283" s="411" t="e">
        <v>#DIV/0!</v>
      </c>
      <c r="H283" s="310"/>
      <c r="I283" s="820"/>
      <c r="J283" s="310"/>
      <c r="K283" s="310"/>
      <c r="L283" s="310"/>
      <c r="M283" s="310"/>
      <c r="N283" s="310"/>
      <c r="O283" s="806"/>
      <c r="R283" s="543"/>
    </row>
    <row r="284" spans="1:18" s="296" customFormat="1" outlineLevel="1">
      <c r="A284" s="306">
        <v>43519</v>
      </c>
      <c r="B284" s="374" t="s">
        <v>287</v>
      </c>
      <c r="C284" s="307" t="s">
        <v>1022</v>
      </c>
      <c r="D284" s="366">
        <v>66.209999999999994</v>
      </c>
      <c r="E284" s="366">
        <v>60.18</v>
      </c>
      <c r="F284" s="330">
        <v>-6.03</v>
      </c>
      <c r="G284" s="411">
        <v>-9.11</v>
      </c>
      <c r="H284" s="310"/>
      <c r="I284" s="820"/>
      <c r="J284" s="310"/>
      <c r="K284" s="310"/>
      <c r="L284" s="310"/>
      <c r="M284" s="310"/>
      <c r="N284" s="310"/>
      <c r="O284" s="806"/>
      <c r="R284" s="543"/>
    </row>
    <row r="285" spans="1:18" s="296" customFormat="1" outlineLevel="1">
      <c r="A285" s="306">
        <v>36945</v>
      </c>
      <c r="B285" s="326" t="s">
        <v>288</v>
      </c>
      <c r="C285" s="307" t="s">
        <v>1022</v>
      </c>
      <c r="D285" s="366">
        <v>0</v>
      </c>
      <c r="E285" s="366">
        <v>0</v>
      </c>
      <c r="F285" s="330">
        <v>0</v>
      </c>
      <c r="G285" s="411" t="e">
        <v>#DIV/0!</v>
      </c>
      <c r="H285" s="310"/>
      <c r="I285" s="820"/>
      <c r="J285" s="310"/>
      <c r="K285" s="310"/>
      <c r="L285" s="310"/>
      <c r="M285" s="310"/>
      <c r="N285" s="310"/>
      <c r="O285" s="806"/>
      <c r="R285" s="543"/>
    </row>
    <row r="286" spans="1:18" s="296" customFormat="1" outlineLevel="1">
      <c r="A286" s="306" t="s">
        <v>289</v>
      </c>
      <c r="B286" s="344" t="s">
        <v>260</v>
      </c>
      <c r="C286" s="307" t="s">
        <v>1022</v>
      </c>
      <c r="D286" s="366">
        <v>0</v>
      </c>
      <c r="E286" s="366">
        <v>0</v>
      </c>
      <c r="F286" s="330">
        <v>0</v>
      </c>
      <c r="G286" s="411" t="e">
        <v>#DIV/0!</v>
      </c>
      <c r="H286" s="310"/>
      <c r="I286" s="820"/>
      <c r="J286" s="310"/>
      <c r="K286" s="310"/>
      <c r="L286" s="310"/>
      <c r="M286" s="310"/>
      <c r="N286" s="310"/>
      <c r="O286" s="806"/>
      <c r="R286" s="543"/>
    </row>
    <row r="287" spans="1:18" s="296" customFormat="1" outlineLevel="1">
      <c r="A287" s="306">
        <v>37310</v>
      </c>
      <c r="B287" s="326" t="s">
        <v>290</v>
      </c>
      <c r="C287" s="307" t="s">
        <v>1022</v>
      </c>
      <c r="D287" s="366">
        <v>0</v>
      </c>
      <c r="E287" s="366">
        <v>0</v>
      </c>
      <c r="F287" s="330">
        <v>0</v>
      </c>
      <c r="G287" s="411" t="e">
        <v>#DIV/0!</v>
      </c>
      <c r="H287" s="310"/>
      <c r="I287" s="820"/>
      <c r="J287" s="310"/>
      <c r="K287" s="310"/>
      <c r="L287" s="310"/>
      <c r="M287" s="310"/>
      <c r="N287" s="310"/>
      <c r="O287" s="806"/>
      <c r="R287" s="543"/>
    </row>
    <row r="288" spans="1:18" s="296" customFormat="1" outlineLevel="1">
      <c r="A288" s="306" t="s">
        <v>291</v>
      </c>
      <c r="B288" s="344" t="s">
        <v>292</v>
      </c>
      <c r="C288" s="307" t="s">
        <v>1022</v>
      </c>
      <c r="D288" s="366">
        <v>0</v>
      </c>
      <c r="E288" s="366">
        <v>0</v>
      </c>
      <c r="F288" s="330">
        <v>0</v>
      </c>
      <c r="G288" s="411" t="e">
        <v>#DIV/0!</v>
      </c>
      <c r="H288" s="310"/>
      <c r="I288" s="820"/>
      <c r="J288" s="310"/>
      <c r="K288" s="310"/>
      <c r="L288" s="310"/>
      <c r="M288" s="310"/>
      <c r="N288" s="310"/>
      <c r="O288" s="806"/>
      <c r="R288" s="543"/>
    </row>
    <row r="289" spans="1:18" s="296" customFormat="1" outlineLevel="1">
      <c r="A289" s="306" t="s">
        <v>293</v>
      </c>
      <c r="B289" s="349" t="s">
        <v>260</v>
      </c>
      <c r="C289" s="307" t="s">
        <v>1022</v>
      </c>
      <c r="D289" s="366">
        <v>0</v>
      </c>
      <c r="E289" s="366">
        <v>0</v>
      </c>
      <c r="F289" s="330">
        <v>0</v>
      </c>
      <c r="G289" s="411" t="e">
        <v>#DIV/0!</v>
      </c>
      <c r="H289" s="310"/>
      <c r="I289" s="820"/>
      <c r="J289" s="310"/>
      <c r="K289" s="310"/>
      <c r="L289" s="310"/>
      <c r="M289" s="310"/>
      <c r="N289" s="310"/>
      <c r="O289" s="806"/>
      <c r="R289" s="543"/>
    </row>
    <row r="290" spans="1:18" s="296" customFormat="1" outlineLevel="1">
      <c r="A290" s="306" t="s">
        <v>294</v>
      </c>
      <c r="B290" s="344" t="s">
        <v>295</v>
      </c>
      <c r="C290" s="307" t="s">
        <v>1022</v>
      </c>
      <c r="D290" s="366">
        <v>0</v>
      </c>
      <c r="E290" s="366">
        <v>0</v>
      </c>
      <c r="F290" s="330">
        <v>0</v>
      </c>
      <c r="G290" s="411" t="e">
        <v>#DIV/0!</v>
      </c>
      <c r="H290" s="310"/>
      <c r="I290" s="820"/>
      <c r="J290" s="310"/>
      <c r="K290" s="310"/>
      <c r="L290" s="310"/>
      <c r="M290" s="310"/>
      <c r="N290" s="310"/>
      <c r="O290" s="806"/>
      <c r="R290" s="543"/>
    </row>
    <row r="291" spans="1:18" s="296" customFormat="1" outlineLevel="1">
      <c r="A291" s="306" t="s">
        <v>296</v>
      </c>
      <c r="B291" s="349" t="s">
        <v>260</v>
      </c>
      <c r="C291" s="307" t="s">
        <v>1022</v>
      </c>
      <c r="D291" s="366">
        <v>0</v>
      </c>
      <c r="E291" s="366">
        <v>0</v>
      </c>
      <c r="F291" s="330">
        <v>0</v>
      </c>
      <c r="G291" s="411" t="e">
        <v>#DIV/0!</v>
      </c>
      <c r="H291" s="310"/>
      <c r="I291" s="820"/>
      <c r="J291" s="310"/>
      <c r="K291" s="310"/>
      <c r="L291" s="310"/>
      <c r="M291" s="310"/>
      <c r="N291" s="310"/>
      <c r="O291" s="806"/>
      <c r="R291" s="543"/>
    </row>
    <row r="292" spans="1:18" s="296" customFormat="1" ht="31.5" outlineLevel="1">
      <c r="A292" s="306">
        <v>37675</v>
      </c>
      <c r="B292" s="326" t="s">
        <v>297</v>
      </c>
      <c r="C292" s="307" t="s">
        <v>1022</v>
      </c>
      <c r="D292" s="366">
        <v>33.4</v>
      </c>
      <c r="E292" s="366">
        <v>8.57</v>
      </c>
      <c r="F292" s="330">
        <v>-24.82</v>
      </c>
      <c r="G292" s="411">
        <v>-74.33</v>
      </c>
      <c r="H292" s="329"/>
      <c r="I292" s="329"/>
      <c r="J292" s="329"/>
      <c r="K292" s="329"/>
      <c r="L292" s="329"/>
      <c r="M292" s="329"/>
      <c r="N292" s="329"/>
      <c r="O292" s="847"/>
      <c r="R292" s="543"/>
    </row>
    <row r="293" spans="1:18" s="296" customFormat="1" outlineLevel="1">
      <c r="A293" s="306" t="s">
        <v>298</v>
      </c>
      <c r="B293" s="344" t="s">
        <v>260</v>
      </c>
      <c r="C293" s="307" t="s">
        <v>1022</v>
      </c>
      <c r="D293" s="366">
        <v>26.93</v>
      </c>
      <c r="E293" s="366">
        <v>6.97</v>
      </c>
      <c r="F293" s="330">
        <v>-19.95</v>
      </c>
      <c r="G293" s="411">
        <v>-74.099999999999994</v>
      </c>
      <c r="H293" s="329"/>
      <c r="I293" s="329"/>
      <c r="J293" s="329"/>
      <c r="K293" s="329"/>
      <c r="L293" s="329"/>
      <c r="M293" s="329"/>
      <c r="N293" s="329"/>
      <c r="O293" s="847"/>
      <c r="R293" s="543"/>
    </row>
    <row r="294" spans="1:18" s="296" customFormat="1" outlineLevel="1">
      <c r="A294" s="306">
        <v>38040</v>
      </c>
      <c r="B294" s="326" t="s">
        <v>299</v>
      </c>
      <c r="C294" s="307" t="s">
        <v>1022</v>
      </c>
      <c r="D294" s="366">
        <v>0</v>
      </c>
      <c r="E294" s="366">
        <v>21.7</v>
      </c>
      <c r="F294" s="330">
        <v>21.7</v>
      </c>
      <c r="G294" s="411" t="e">
        <v>#DIV/0!</v>
      </c>
      <c r="H294" s="310"/>
      <c r="I294" s="853"/>
      <c r="J294" s="412"/>
      <c r="K294" s="853"/>
      <c r="L294" s="330"/>
      <c r="M294" s="310"/>
      <c r="N294" s="310"/>
      <c r="O294" s="806"/>
      <c r="R294" s="543"/>
    </row>
    <row r="295" spans="1:18" s="296" customFormat="1" outlineLevel="1">
      <c r="A295" s="306" t="s">
        <v>300</v>
      </c>
      <c r="B295" s="344" t="s">
        <v>260</v>
      </c>
      <c r="C295" s="307" t="s">
        <v>1022</v>
      </c>
      <c r="D295" s="366">
        <v>0</v>
      </c>
      <c r="E295" s="366">
        <v>0</v>
      </c>
      <c r="F295" s="330">
        <v>0</v>
      </c>
      <c r="G295" s="411" t="e">
        <v>#DIV/0!</v>
      </c>
      <c r="H295" s="310"/>
      <c r="I295" s="820"/>
      <c r="J295" s="310"/>
      <c r="K295" s="310"/>
      <c r="L295" s="310"/>
      <c r="M295" s="310"/>
      <c r="N295" s="310"/>
      <c r="O295" s="806"/>
      <c r="R295" s="543"/>
    </row>
    <row r="296" spans="1:18" s="296" customFormat="1" outlineLevel="1">
      <c r="A296" s="306">
        <v>38406</v>
      </c>
      <c r="B296" s="326" t="s">
        <v>301</v>
      </c>
      <c r="C296" s="307" t="s">
        <v>1022</v>
      </c>
      <c r="D296" s="366">
        <v>0</v>
      </c>
      <c r="E296" s="366">
        <v>0</v>
      </c>
      <c r="F296" s="330">
        <v>0</v>
      </c>
      <c r="G296" s="411" t="e">
        <v>#DIV/0!</v>
      </c>
      <c r="H296" s="310"/>
      <c r="I296" s="820"/>
      <c r="J296" s="310"/>
      <c r="K296" s="310"/>
      <c r="L296" s="310"/>
      <c r="M296" s="310"/>
      <c r="N296" s="310"/>
      <c r="O296" s="806"/>
      <c r="R296" s="543"/>
    </row>
    <row r="297" spans="1:18" s="296" customFormat="1" outlineLevel="1">
      <c r="A297" s="306" t="s">
        <v>302</v>
      </c>
      <c r="B297" s="344" t="s">
        <v>260</v>
      </c>
      <c r="C297" s="307" t="s">
        <v>1022</v>
      </c>
      <c r="D297" s="366">
        <v>0</v>
      </c>
      <c r="E297" s="366">
        <v>0</v>
      </c>
      <c r="F297" s="330">
        <v>0</v>
      </c>
      <c r="G297" s="411" t="e">
        <v>#DIV/0!</v>
      </c>
      <c r="H297" s="310"/>
      <c r="I297" s="820"/>
      <c r="J297" s="310"/>
      <c r="K297" s="310"/>
      <c r="L297" s="310"/>
      <c r="M297" s="310"/>
      <c r="N297" s="310"/>
      <c r="O297" s="806"/>
      <c r="R297" s="543"/>
    </row>
    <row r="298" spans="1:18" s="296" customFormat="1" outlineLevel="1">
      <c r="A298" s="306">
        <v>38771</v>
      </c>
      <c r="B298" s="326" t="s">
        <v>303</v>
      </c>
      <c r="C298" s="307" t="s">
        <v>1022</v>
      </c>
      <c r="D298" s="366">
        <v>0</v>
      </c>
      <c r="E298" s="366">
        <v>0</v>
      </c>
      <c r="F298" s="330">
        <v>0</v>
      </c>
      <c r="G298" s="411" t="e">
        <v>#DIV/0!</v>
      </c>
      <c r="H298" s="310"/>
      <c r="I298" s="820"/>
      <c r="J298" s="310"/>
      <c r="K298" s="310"/>
      <c r="L298" s="310"/>
      <c r="M298" s="310"/>
      <c r="N298" s="310"/>
      <c r="O298" s="806"/>
      <c r="R298" s="543"/>
    </row>
    <row r="299" spans="1:18" s="296" customFormat="1" outlineLevel="1">
      <c r="A299" s="306" t="s">
        <v>304</v>
      </c>
      <c r="B299" s="344" t="s">
        <v>260</v>
      </c>
      <c r="C299" s="307" t="s">
        <v>1022</v>
      </c>
      <c r="D299" s="366">
        <v>0</v>
      </c>
      <c r="E299" s="366">
        <v>0</v>
      </c>
      <c r="F299" s="330">
        <v>0</v>
      </c>
      <c r="G299" s="411" t="e">
        <v>#DIV/0!</v>
      </c>
      <c r="H299" s="310"/>
      <c r="I299" s="820"/>
      <c r="J299" s="310"/>
      <c r="K299" s="310"/>
      <c r="L299" s="310"/>
      <c r="M299" s="310"/>
      <c r="N299" s="310"/>
      <c r="O299" s="806"/>
      <c r="R299" s="543"/>
    </row>
    <row r="300" spans="1:18" s="296" customFormat="1" outlineLevel="1">
      <c r="A300" s="306">
        <v>39136</v>
      </c>
      <c r="B300" s="326" t="s">
        <v>305</v>
      </c>
      <c r="C300" s="307" t="s">
        <v>1022</v>
      </c>
      <c r="D300" s="366">
        <v>0</v>
      </c>
      <c r="E300" s="366">
        <v>0</v>
      </c>
      <c r="F300" s="330">
        <v>0</v>
      </c>
      <c r="G300" s="411" t="e">
        <v>#DIV/0!</v>
      </c>
      <c r="H300" s="310"/>
      <c r="I300" s="820"/>
      <c r="J300" s="310"/>
      <c r="K300" s="310"/>
      <c r="L300" s="310"/>
      <c r="M300" s="310"/>
      <c r="N300" s="310"/>
      <c r="O300" s="806"/>
      <c r="R300" s="543"/>
    </row>
    <row r="301" spans="1:18" s="296" customFormat="1" outlineLevel="1">
      <c r="A301" s="306" t="s">
        <v>306</v>
      </c>
      <c r="B301" s="344" t="s">
        <v>260</v>
      </c>
      <c r="C301" s="307" t="s">
        <v>1022</v>
      </c>
      <c r="D301" s="366">
        <v>0</v>
      </c>
      <c r="E301" s="366">
        <v>0</v>
      </c>
      <c r="F301" s="330">
        <v>0</v>
      </c>
      <c r="G301" s="411" t="e">
        <v>#DIV/0!</v>
      </c>
      <c r="H301" s="310"/>
      <c r="I301" s="820"/>
      <c r="J301" s="310"/>
      <c r="K301" s="310"/>
      <c r="L301" s="310"/>
      <c r="M301" s="310"/>
      <c r="N301" s="310"/>
      <c r="O301" s="806"/>
      <c r="R301" s="543"/>
    </row>
    <row r="302" spans="1:18" s="296" customFormat="1" ht="31.5" outlineLevel="1">
      <c r="A302" s="306">
        <v>39501</v>
      </c>
      <c r="B302" s="326" t="s">
        <v>1126</v>
      </c>
      <c r="C302" s="307" t="s">
        <v>1022</v>
      </c>
      <c r="D302" s="366">
        <v>0</v>
      </c>
      <c r="E302" s="366">
        <v>0</v>
      </c>
      <c r="F302" s="330">
        <v>0</v>
      </c>
      <c r="G302" s="411" t="e">
        <v>#DIV/0!</v>
      </c>
      <c r="H302" s="310"/>
      <c r="I302" s="820"/>
      <c r="J302" s="310"/>
      <c r="K302" s="310"/>
      <c r="L302" s="310"/>
      <c r="M302" s="310"/>
      <c r="N302" s="310"/>
      <c r="O302" s="806"/>
      <c r="R302" s="543"/>
    </row>
    <row r="303" spans="1:18" s="296" customFormat="1" outlineLevel="1">
      <c r="A303" s="306" t="s">
        <v>308</v>
      </c>
      <c r="B303" s="344" t="s">
        <v>260</v>
      </c>
      <c r="C303" s="307" t="s">
        <v>1022</v>
      </c>
      <c r="D303" s="366">
        <v>0</v>
      </c>
      <c r="E303" s="366">
        <v>0</v>
      </c>
      <c r="F303" s="330">
        <v>0</v>
      </c>
      <c r="G303" s="411" t="e">
        <v>#DIV/0!</v>
      </c>
      <c r="H303" s="310"/>
      <c r="I303" s="820"/>
      <c r="J303" s="310"/>
      <c r="K303" s="310"/>
      <c r="L303" s="310"/>
      <c r="M303" s="310"/>
      <c r="N303" s="310"/>
      <c r="O303" s="806"/>
      <c r="R303" s="543"/>
    </row>
    <row r="304" spans="1:18" s="296" customFormat="1" outlineLevel="1">
      <c r="A304" s="306">
        <v>39867</v>
      </c>
      <c r="B304" s="326" t="s">
        <v>309</v>
      </c>
      <c r="C304" s="307" t="s">
        <v>1022</v>
      </c>
      <c r="D304" s="366">
        <v>32.82</v>
      </c>
      <c r="E304" s="366">
        <v>29.91</v>
      </c>
      <c r="F304" s="330">
        <v>-2.91</v>
      </c>
      <c r="G304" s="411">
        <v>-8.8699999999999992</v>
      </c>
      <c r="H304" s="329"/>
      <c r="I304" s="329"/>
      <c r="J304" s="329"/>
      <c r="K304" s="329"/>
      <c r="L304" s="329"/>
      <c r="M304" s="329"/>
      <c r="N304" s="329"/>
      <c r="O304" s="847"/>
      <c r="R304" s="543"/>
    </row>
    <row r="305" spans="1:18" s="296" customFormat="1" outlineLevel="1">
      <c r="A305" s="306" t="s">
        <v>310</v>
      </c>
      <c r="B305" s="344" t="s">
        <v>260</v>
      </c>
      <c r="C305" s="307" t="s">
        <v>1022</v>
      </c>
      <c r="D305" s="366">
        <v>0</v>
      </c>
      <c r="E305" s="366">
        <v>0</v>
      </c>
      <c r="F305" s="330">
        <v>0</v>
      </c>
      <c r="G305" s="411" t="e">
        <v>#DIV/0!</v>
      </c>
      <c r="H305" s="310"/>
      <c r="I305" s="820"/>
      <c r="J305" s="310"/>
      <c r="K305" s="310"/>
      <c r="L305" s="310"/>
      <c r="M305" s="310"/>
      <c r="N305" s="310"/>
      <c r="O305" s="806"/>
      <c r="R305" s="543"/>
    </row>
    <row r="306" spans="1:18" s="296" customFormat="1" ht="31.5" outlineLevel="1">
      <c r="A306" s="306">
        <v>43547</v>
      </c>
      <c r="B306" s="374" t="s">
        <v>311</v>
      </c>
      <c r="C306" s="307" t="s">
        <v>20</v>
      </c>
      <c r="D306" s="366">
        <v>0</v>
      </c>
      <c r="E306" s="366">
        <v>0</v>
      </c>
      <c r="F306" s="330">
        <v>0</v>
      </c>
      <c r="G306" s="411" t="e">
        <v>#DIV/0!</v>
      </c>
      <c r="H306" s="310"/>
      <c r="I306" s="820"/>
      <c r="J306" s="310"/>
      <c r="K306" s="310"/>
      <c r="L306" s="310"/>
      <c r="M306" s="310"/>
      <c r="N306" s="310"/>
      <c r="O306" s="806"/>
      <c r="R306" s="543"/>
    </row>
    <row r="307" spans="1:18" s="296" customFormat="1" outlineLevel="1">
      <c r="A307" s="306">
        <v>36973</v>
      </c>
      <c r="B307" s="326" t="s">
        <v>312</v>
      </c>
      <c r="C307" s="307" t="s">
        <v>20</v>
      </c>
      <c r="D307" s="366">
        <v>0</v>
      </c>
      <c r="E307" s="366">
        <v>0</v>
      </c>
      <c r="F307" s="330">
        <v>0</v>
      </c>
      <c r="G307" s="411" t="e">
        <v>#DIV/0!</v>
      </c>
      <c r="H307" s="310"/>
      <c r="I307" s="820"/>
      <c r="J307" s="310"/>
      <c r="K307" s="310"/>
      <c r="L307" s="310"/>
      <c r="M307" s="310"/>
      <c r="N307" s="310"/>
      <c r="O307" s="806"/>
      <c r="R307" s="543"/>
    </row>
    <row r="308" spans="1:18" s="296" customFormat="1" ht="31.5" outlineLevel="1">
      <c r="A308" s="306" t="s">
        <v>313</v>
      </c>
      <c r="B308" s="326" t="s">
        <v>314</v>
      </c>
      <c r="C308" s="307" t="s">
        <v>20</v>
      </c>
      <c r="D308" s="366">
        <v>0</v>
      </c>
      <c r="E308" s="366">
        <v>0</v>
      </c>
      <c r="F308" s="330">
        <v>0</v>
      </c>
      <c r="G308" s="411" t="e">
        <v>#DIV/0!</v>
      </c>
      <c r="H308" s="310"/>
      <c r="I308" s="820"/>
      <c r="J308" s="310"/>
      <c r="K308" s="310"/>
      <c r="L308" s="310"/>
      <c r="M308" s="310"/>
      <c r="N308" s="310"/>
      <c r="O308" s="806"/>
      <c r="R308" s="543"/>
    </row>
    <row r="309" spans="1:18" s="296" customFormat="1" ht="31.5" outlineLevel="1">
      <c r="A309" s="306" t="s">
        <v>315</v>
      </c>
      <c r="B309" s="326" t="s">
        <v>316</v>
      </c>
      <c r="C309" s="307" t="s">
        <v>20</v>
      </c>
      <c r="D309" s="366">
        <v>0</v>
      </c>
      <c r="E309" s="366">
        <v>0</v>
      </c>
      <c r="F309" s="330">
        <v>0</v>
      </c>
      <c r="G309" s="411" t="e">
        <v>#DIV/0!</v>
      </c>
      <c r="H309" s="310"/>
      <c r="I309" s="820"/>
      <c r="J309" s="310"/>
      <c r="K309" s="310"/>
      <c r="L309" s="310"/>
      <c r="M309" s="310"/>
      <c r="N309" s="310"/>
      <c r="O309" s="806"/>
      <c r="R309" s="543"/>
    </row>
    <row r="310" spans="1:18" s="296" customFormat="1" ht="31.5" outlineLevel="1">
      <c r="A310" s="306" t="s">
        <v>317</v>
      </c>
      <c r="B310" s="326" t="s">
        <v>318</v>
      </c>
      <c r="C310" s="307" t="s">
        <v>20</v>
      </c>
      <c r="D310" s="366">
        <v>0</v>
      </c>
      <c r="E310" s="366">
        <v>0</v>
      </c>
      <c r="F310" s="330">
        <v>0</v>
      </c>
      <c r="G310" s="411" t="e">
        <v>#DIV/0!</v>
      </c>
      <c r="H310" s="310"/>
      <c r="I310" s="820"/>
      <c r="J310" s="310"/>
      <c r="K310" s="310"/>
      <c r="L310" s="310"/>
      <c r="M310" s="310"/>
      <c r="N310" s="310"/>
      <c r="O310" s="806"/>
      <c r="R310" s="543"/>
    </row>
    <row r="311" spans="1:18" s="296" customFormat="1" outlineLevel="1">
      <c r="A311" s="306">
        <v>37338</v>
      </c>
      <c r="B311" s="324" t="s">
        <v>319</v>
      </c>
      <c r="C311" s="307" t="s">
        <v>20</v>
      </c>
      <c r="D311" s="366">
        <v>0</v>
      </c>
      <c r="E311" s="366">
        <v>0</v>
      </c>
      <c r="F311" s="330">
        <v>0</v>
      </c>
      <c r="G311" s="411" t="e">
        <v>#DIV/0!</v>
      </c>
      <c r="H311" s="310"/>
      <c r="I311" s="820"/>
      <c r="J311" s="310"/>
      <c r="K311" s="310"/>
      <c r="L311" s="310"/>
      <c r="M311" s="310"/>
      <c r="N311" s="310"/>
      <c r="O311" s="806"/>
      <c r="R311" s="543"/>
    </row>
    <row r="312" spans="1:18" s="296" customFormat="1" outlineLevel="1">
      <c r="A312" s="306">
        <v>37703</v>
      </c>
      <c r="B312" s="324" t="s">
        <v>320</v>
      </c>
      <c r="C312" s="307" t="s">
        <v>20</v>
      </c>
      <c r="D312" s="366">
        <v>0</v>
      </c>
      <c r="E312" s="366">
        <v>0</v>
      </c>
      <c r="F312" s="330">
        <v>0</v>
      </c>
      <c r="G312" s="411" t="e">
        <v>#DIV/0!</v>
      </c>
      <c r="H312" s="310"/>
      <c r="I312" s="820"/>
      <c r="J312" s="310"/>
      <c r="K312" s="310"/>
      <c r="L312" s="310"/>
      <c r="M312" s="310"/>
      <c r="N312" s="310"/>
      <c r="O312" s="806"/>
      <c r="R312" s="543"/>
    </row>
    <row r="313" spans="1:18" s="296" customFormat="1" outlineLevel="1">
      <c r="A313" s="306">
        <v>38069</v>
      </c>
      <c r="B313" s="324" t="s">
        <v>321</v>
      </c>
      <c r="C313" s="307" t="s">
        <v>20</v>
      </c>
      <c r="D313" s="366">
        <v>0</v>
      </c>
      <c r="E313" s="366">
        <v>0</v>
      </c>
      <c r="F313" s="330">
        <v>0</v>
      </c>
      <c r="G313" s="411" t="e">
        <v>#DIV/0!</v>
      </c>
      <c r="H313" s="310"/>
      <c r="I313" s="820"/>
      <c r="J313" s="310"/>
      <c r="K313" s="310"/>
      <c r="L313" s="310"/>
      <c r="M313" s="310"/>
      <c r="N313" s="310"/>
      <c r="O313" s="806"/>
      <c r="R313" s="543"/>
    </row>
    <row r="314" spans="1:18" s="296" customFormat="1" ht="19.5" customHeight="1" outlineLevel="1">
      <c r="A314" s="306">
        <v>38434</v>
      </c>
      <c r="B314" s="324" t="s">
        <v>322</v>
      </c>
      <c r="C314" s="307" t="s">
        <v>20</v>
      </c>
      <c r="D314" s="366">
        <v>0</v>
      </c>
      <c r="E314" s="366">
        <v>0</v>
      </c>
      <c r="F314" s="330">
        <v>0</v>
      </c>
      <c r="G314" s="411" t="e">
        <v>#DIV/0!</v>
      </c>
      <c r="H314" s="310"/>
      <c r="I314" s="820"/>
      <c r="J314" s="310"/>
      <c r="K314" s="310"/>
      <c r="L314" s="310"/>
      <c r="M314" s="310"/>
      <c r="N314" s="310"/>
      <c r="O314" s="806"/>
      <c r="R314" s="543"/>
    </row>
    <row r="315" spans="1:18" s="296" customFormat="1" ht="19.5" customHeight="1" outlineLevel="1">
      <c r="A315" s="306">
        <v>38799</v>
      </c>
      <c r="B315" s="324" t="s">
        <v>323</v>
      </c>
      <c r="C315" s="307" t="s">
        <v>20</v>
      </c>
      <c r="D315" s="866">
        <v>0</v>
      </c>
      <c r="E315" s="866">
        <v>0</v>
      </c>
      <c r="F315" s="330">
        <v>0</v>
      </c>
      <c r="G315" s="411" t="e">
        <v>#DIV/0!</v>
      </c>
      <c r="H315" s="867"/>
      <c r="I315" s="868"/>
      <c r="J315" s="310"/>
      <c r="K315" s="867"/>
      <c r="L315" s="867"/>
      <c r="M315" s="867"/>
      <c r="N315" s="867"/>
      <c r="O315" s="857"/>
      <c r="R315" s="543"/>
    </row>
    <row r="316" spans="1:18" s="296" customFormat="1" ht="36.75" customHeight="1" outlineLevel="1">
      <c r="A316" s="306">
        <v>39164</v>
      </c>
      <c r="B316" s="326" t="s">
        <v>324</v>
      </c>
      <c r="C316" s="307" t="s">
        <v>20</v>
      </c>
      <c r="D316" s="866">
        <v>0</v>
      </c>
      <c r="E316" s="866">
        <v>0</v>
      </c>
      <c r="F316" s="330">
        <v>0</v>
      </c>
      <c r="G316" s="411" t="e">
        <v>#DIV/0!</v>
      </c>
      <c r="H316" s="867"/>
      <c r="I316" s="868"/>
      <c r="J316" s="310"/>
      <c r="K316" s="867"/>
      <c r="L316" s="867"/>
      <c r="M316" s="867"/>
      <c r="N316" s="867"/>
      <c r="O316" s="857"/>
      <c r="R316" s="543"/>
    </row>
    <row r="317" spans="1:18" s="296" customFormat="1" ht="19.5" customHeight="1" outlineLevel="1">
      <c r="A317" s="306" t="s">
        <v>325</v>
      </c>
      <c r="B317" s="414" t="s">
        <v>1108</v>
      </c>
      <c r="C317" s="307" t="s">
        <v>20</v>
      </c>
      <c r="D317" s="366">
        <v>0</v>
      </c>
      <c r="E317" s="366">
        <v>0</v>
      </c>
      <c r="F317" s="330">
        <v>0</v>
      </c>
      <c r="G317" s="411" t="e">
        <v>#DIV/0!</v>
      </c>
      <c r="H317" s="310"/>
      <c r="I317" s="820"/>
      <c r="J317" s="310"/>
      <c r="K317" s="310"/>
      <c r="L317" s="310"/>
      <c r="M317" s="310"/>
      <c r="N317" s="310"/>
      <c r="O317" s="806"/>
      <c r="R317" s="543"/>
    </row>
    <row r="318" spans="1:18" s="296" customFormat="1" ht="19.5" customHeight="1" outlineLevel="1" thickBot="1">
      <c r="A318" s="367" t="s">
        <v>326</v>
      </c>
      <c r="B318" s="415" t="s">
        <v>159</v>
      </c>
      <c r="C318" s="369" t="s">
        <v>20</v>
      </c>
      <c r="D318" s="416">
        <v>0</v>
      </c>
      <c r="E318" s="416">
        <v>0</v>
      </c>
      <c r="F318" s="330">
        <v>0</v>
      </c>
      <c r="G318" s="411" t="e">
        <v>#DIV/0!</v>
      </c>
      <c r="H318" s="395"/>
      <c r="I318" s="417"/>
      <c r="J318" s="395"/>
      <c r="K318" s="395"/>
      <c r="L318" s="395"/>
      <c r="M318" s="395"/>
      <c r="N318" s="395"/>
      <c r="O318" s="858"/>
      <c r="R318" s="543"/>
    </row>
    <row r="319" spans="1:18" s="296" customFormat="1" ht="15.6" customHeight="1" thickBot="1">
      <c r="A319" s="783" t="s">
        <v>327</v>
      </c>
      <c r="B319" s="784"/>
      <c r="C319" s="784"/>
      <c r="D319" s="784"/>
      <c r="E319" s="784"/>
      <c r="F319" s="784"/>
      <c r="G319" s="784"/>
      <c r="H319" s="784"/>
      <c r="I319" s="784"/>
      <c r="J319" s="784"/>
      <c r="K319" s="784"/>
      <c r="L319" s="784"/>
      <c r="M319" s="784"/>
      <c r="N319" s="784"/>
      <c r="O319" s="803"/>
      <c r="R319" s="543"/>
    </row>
    <row r="320" spans="1:18" ht="31.5" outlineLevel="1">
      <c r="A320" s="337" t="s">
        <v>328</v>
      </c>
      <c r="B320" s="418" t="s">
        <v>329</v>
      </c>
      <c r="C320" s="339" t="s">
        <v>256</v>
      </c>
      <c r="D320" s="419" t="s">
        <v>1127</v>
      </c>
      <c r="E320" s="419" t="s">
        <v>1127</v>
      </c>
      <c r="F320" s="419" t="s">
        <v>1127</v>
      </c>
      <c r="G320" s="419" t="s">
        <v>1127</v>
      </c>
      <c r="H320" s="419"/>
      <c r="I320" s="419"/>
      <c r="J320" s="419"/>
      <c r="K320" s="419"/>
      <c r="L320" s="419"/>
      <c r="M320" s="419"/>
      <c r="N320" s="419"/>
      <c r="O320" s="869"/>
    </row>
    <row r="321" spans="1:15" outlineLevel="1">
      <c r="A321" s="306">
        <v>43489</v>
      </c>
      <c r="B321" s="374" t="s">
        <v>331</v>
      </c>
      <c r="C321" s="307" t="s">
        <v>61</v>
      </c>
      <c r="D321" s="366">
        <v>0</v>
      </c>
      <c r="E321" s="366">
        <v>0</v>
      </c>
      <c r="F321" s="366">
        <v>0</v>
      </c>
      <c r="G321" s="411" t="e">
        <v>#DIV/0!</v>
      </c>
      <c r="H321" s="310"/>
      <c r="I321" s="820"/>
      <c r="J321" s="310"/>
      <c r="K321" s="310"/>
      <c r="L321" s="310"/>
      <c r="M321" s="310"/>
      <c r="N321" s="310"/>
      <c r="O321" s="806"/>
    </row>
    <row r="322" spans="1:15" outlineLevel="1">
      <c r="A322" s="306">
        <v>43520</v>
      </c>
      <c r="B322" s="374" t="s">
        <v>332</v>
      </c>
      <c r="C322" s="307" t="s">
        <v>333</v>
      </c>
      <c r="D322" s="366">
        <v>0</v>
      </c>
      <c r="E322" s="366">
        <v>0</v>
      </c>
      <c r="F322" s="366">
        <v>0</v>
      </c>
      <c r="G322" s="411" t="e">
        <v>#DIV/0!</v>
      </c>
      <c r="H322" s="310"/>
      <c r="I322" s="820"/>
      <c r="J322" s="310"/>
      <c r="K322" s="310"/>
      <c r="L322" s="310"/>
      <c r="M322" s="310"/>
      <c r="N322" s="310"/>
      <c r="O322" s="806"/>
    </row>
    <row r="323" spans="1:15" outlineLevel="1">
      <c r="A323" s="306">
        <v>43548</v>
      </c>
      <c r="B323" s="374" t="s">
        <v>334</v>
      </c>
      <c r="C323" s="307" t="s">
        <v>61</v>
      </c>
      <c r="D323" s="366">
        <v>0</v>
      </c>
      <c r="E323" s="366">
        <v>0</v>
      </c>
      <c r="F323" s="366">
        <v>0</v>
      </c>
      <c r="G323" s="411" t="e">
        <v>#DIV/0!</v>
      </c>
      <c r="H323" s="310"/>
      <c r="I323" s="820"/>
      <c r="J323" s="310"/>
      <c r="K323" s="310"/>
      <c r="L323" s="310"/>
      <c r="M323" s="310"/>
      <c r="N323" s="310"/>
      <c r="O323" s="806"/>
    </row>
    <row r="324" spans="1:15" outlineLevel="1">
      <c r="A324" s="306">
        <v>43579</v>
      </c>
      <c r="B324" s="374" t="s">
        <v>335</v>
      </c>
      <c r="C324" s="307" t="s">
        <v>333</v>
      </c>
      <c r="D324" s="366">
        <v>0</v>
      </c>
      <c r="E324" s="366">
        <v>0</v>
      </c>
      <c r="F324" s="366">
        <v>0</v>
      </c>
      <c r="G324" s="411" t="e">
        <v>#DIV/0!</v>
      </c>
      <c r="H324" s="310"/>
      <c r="I324" s="820"/>
      <c r="J324" s="310"/>
      <c r="K324" s="310"/>
      <c r="L324" s="310"/>
      <c r="M324" s="310"/>
      <c r="N324" s="310"/>
      <c r="O324" s="806"/>
    </row>
    <row r="325" spans="1:15" outlineLevel="1">
      <c r="A325" s="306">
        <v>43609</v>
      </c>
      <c r="B325" s="374" t="s">
        <v>336</v>
      </c>
      <c r="C325" s="307" t="s">
        <v>337</v>
      </c>
      <c r="D325" s="366">
        <v>0</v>
      </c>
      <c r="E325" s="366">
        <v>0</v>
      </c>
      <c r="F325" s="366">
        <v>0</v>
      </c>
      <c r="G325" s="411" t="e">
        <v>#DIV/0!</v>
      </c>
      <c r="H325" s="310"/>
      <c r="I325" s="820"/>
      <c r="J325" s="310"/>
      <c r="K325" s="310"/>
      <c r="L325" s="310"/>
      <c r="M325" s="310"/>
      <c r="N325" s="310"/>
      <c r="O325" s="806"/>
    </row>
    <row r="326" spans="1:15" outlineLevel="1">
      <c r="A326" s="306">
        <v>43640</v>
      </c>
      <c r="B326" s="374" t="s">
        <v>338</v>
      </c>
      <c r="C326" s="307" t="s">
        <v>256</v>
      </c>
      <c r="D326" s="420" t="s">
        <v>1127</v>
      </c>
      <c r="E326" s="420" t="s">
        <v>1127</v>
      </c>
      <c r="F326" s="420" t="s">
        <v>1127</v>
      </c>
      <c r="G326" s="421" t="s">
        <v>1127</v>
      </c>
      <c r="H326" s="421"/>
      <c r="I326" s="421"/>
      <c r="J326" s="421"/>
      <c r="K326" s="421"/>
      <c r="L326" s="421"/>
      <c r="M326" s="421"/>
      <c r="N326" s="421"/>
      <c r="O326" s="442"/>
    </row>
    <row r="327" spans="1:15" outlineLevel="1">
      <c r="A327" s="306">
        <v>37066</v>
      </c>
      <c r="B327" s="326" t="s">
        <v>339</v>
      </c>
      <c r="C327" s="307" t="s">
        <v>337</v>
      </c>
      <c r="D327" s="366">
        <v>0</v>
      </c>
      <c r="E327" s="366">
        <v>0</v>
      </c>
      <c r="F327" s="366">
        <v>0</v>
      </c>
      <c r="G327" s="411" t="e">
        <v>#DIV/0!</v>
      </c>
      <c r="H327" s="310"/>
      <c r="I327" s="820"/>
      <c r="J327" s="310"/>
      <c r="K327" s="310"/>
      <c r="L327" s="310"/>
      <c r="M327" s="310"/>
      <c r="N327" s="310"/>
      <c r="O327" s="806"/>
    </row>
    <row r="328" spans="1:15" outlineLevel="1">
      <c r="A328" s="306">
        <v>37431</v>
      </c>
      <c r="B328" s="326" t="s">
        <v>340</v>
      </c>
      <c r="C328" s="307" t="s">
        <v>341</v>
      </c>
      <c r="D328" s="366">
        <v>0</v>
      </c>
      <c r="E328" s="366">
        <v>0</v>
      </c>
      <c r="F328" s="366">
        <v>0</v>
      </c>
      <c r="G328" s="411" t="e">
        <v>#DIV/0!</v>
      </c>
      <c r="H328" s="310"/>
      <c r="I328" s="820"/>
      <c r="J328" s="310"/>
      <c r="K328" s="310"/>
      <c r="L328" s="310"/>
      <c r="M328" s="310"/>
      <c r="N328" s="310"/>
      <c r="O328" s="806"/>
    </row>
    <row r="329" spans="1:15" outlineLevel="1">
      <c r="A329" s="306">
        <v>43670</v>
      </c>
      <c r="B329" s="374" t="s">
        <v>342</v>
      </c>
      <c r="C329" s="307" t="s">
        <v>256</v>
      </c>
      <c r="D329" s="420" t="s">
        <v>1127</v>
      </c>
      <c r="E329" s="420" t="s">
        <v>1127</v>
      </c>
      <c r="F329" s="420" t="s">
        <v>1127</v>
      </c>
      <c r="G329" s="421" t="s">
        <v>1127</v>
      </c>
      <c r="H329" s="421"/>
      <c r="I329" s="421"/>
      <c r="J329" s="421"/>
      <c r="K329" s="421"/>
      <c r="L329" s="421"/>
      <c r="M329" s="421"/>
      <c r="N329" s="421"/>
      <c r="O329" s="442"/>
    </row>
    <row r="330" spans="1:15" outlineLevel="1">
      <c r="A330" s="306">
        <v>37096</v>
      </c>
      <c r="B330" s="326" t="s">
        <v>339</v>
      </c>
      <c r="C330" s="307" t="s">
        <v>337</v>
      </c>
      <c r="D330" s="366">
        <v>0</v>
      </c>
      <c r="E330" s="366">
        <v>0</v>
      </c>
      <c r="F330" s="366">
        <v>0</v>
      </c>
      <c r="G330" s="411" t="e">
        <v>#DIV/0!</v>
      </c>
      <c r="H330" s="310"/>
      <c r="I330" s="820"/>
      <c r="J330" s="310"/>
      <c r="K330" s="310"/>
      <c r="L330" s="310"/>
      <c r="M330" s="310"/>
      <c r="N330" s="310"/>
      <c r="O330" s="806"/>
    </row>
    <row r="331" spans="1:15" outlineLevel="1">
      <c r="A331" s="306">
        <v>37461</v>
      </c>
      <c r="B331" s="326" t="s">
        <v>343</v>
      </c>
      <c r="C331" s="307" t="s">
        <v>61</v>
      </c>
      <c r="D331" s="366">
        <v>0</v>
      </c>
      <c r="E331" s="366">
        <v>0</v>
      </c>
      <c r="F331" s="366">
        <v>0</v>
      </c>
      <c r="G331" s="411" t="e">
        <v>#DIV/0!</v>
      </c>
      <c r="H331" s="310"/>
      <c r="I331" s="820"/>
      <c r="J331" s="310"/>
      <c r="K331" s="310"/>
      <c r="L331" s="310"/>
      <c r="M331" s="310"/>
      <c r="N331" s="310"/>
      <c r="O331" s="806"/>
    </row>
    <row r="332" spans="1:15" outlineLevel="1">
      <c r="A332" s="306">
        <v>37826</v>
      </c>
      <c r="B332" s="326" t="s">
        <v>340</v>
      </c>
      <c r="C332" s="307" t="s">
        <v>341</v>
      </c>
      <c r="D332" s="366">
        <v>0</v>
      </c>
      <c r="E332" s="366">
        <v>0</v>
      </c>
      <c r="F332" s="366">
        <v>0</v>
      </c>
      <c r="G332" s="411" t="e">
        <v>#DIV/0!</v>
      </c>
      <c r="H332" s="310"/>
      <c r="I332" s="820"/>
      <c r="J332" s="310"/>
      <c r="K332" s="310"/>
      <c r="L332" s="310"/>
      <c r="M332" s="310"/>
      <c r="N332" s="310"/>
      <c r="O332" s="806"/>
    </row>
    <row r="333" spans="1:15" outlineLevel="1">
      <c r="A333" s="306">
        <v>43701</v>
      </c>
      <c r="B333" s="374" t="s">
        <v>344</v>
      </c>
      <c r="C333" s="307" t="s">
        <v>256</v>
      </c>
      <c r="D333" s="420" t="s">
        <v>1127</v>
      </c>
      <c r="E333" s="420" t="s">
        <v>1127</v>
      </c>
      <c r="F333" s="420" t="s">
        <v>1127</v>
      </c>
      <c r="G333" s="421" t="s">
        <v>1127</v>
      </c>
      <c r="H333" s="421"/>
      <c r="I333" s="421"/>
      <c r="J333" s="421"/>
      <c r="K333" s="421"/>
      <c r="L333" s="421"/>
      <c r="M333" s="421"/>
      <c r="N333" s="421"/>
      <c r="O333" s="442"/>
    </row>
    <row r="334" spans="1:15" outlineLevel="1">
      <c r="A334" s="306">
        <v>37127</v>
      </c>
      <c r="B334" s="326" t="s">
        <v>339</v>
      </c>
      <c r="C334" s="307" t="s">
        <v>337</v>
      </c>
      <c r="D334" s="366">
        <v>0</v>
      </c>
      <c r="E334" s="366">
        <v>0</v>
      </c>
      <c r="F334" s="366">
        <v>0</v>
      </c>
      <c r="G334" s="411" t="e">
        <v>#DIV/0!</v>
      </c>
      <c r="H334" s="310"/>
      <c r="I334" s="820"/>
      <c r="J334" s="310"/>
      <c r="K334" s="310"/>
      <c r="L334" s="310"/>
      <c r="M334" s="310"/>
      <c r="N334" s="310"/>
      <c r="O334" s="806"/>
    </row>
    <row r="335" spans="1:15" outlineLevel="1">
      <c r="A335" s="306">
        <v>37492</v>
      </c>
      <c r="B335" s="326" t="s">
        <v>340</v>
      </c>
      <c r="C335" s="307" t="s">
        <v>341</v>
      </c>
      <c r="D335" s="366">
        <v>0</v>
      </c>
      <c r="E335" s="366">
        <v>0</v>
      </c>
      <c r="F335" s="366">
        <v>0</v>
      </c>
      <c r="G335" s="411" t="e">
        <v>#DIV/0!</v>
      </c>
      <c r="H335" s="310"/>
      <c r="I335" s="820"/>
      <c r="J335" s="310"/>
      <c r="K335" s="310"/>
      <c r="L335" s="310"/>
      <c r="M335" s="310"/>
      <c r="N335" s="310"/>
      <c r="O335" s="806"/>
    </row>
    <row r="336" spans="1:15" outlineLevel="1">
      <c r="A336" s="306">
        <v>43732</v>
      </c>
      <c r="B336" s="374" t="s">
        <v>345</v>
      </c>
      <c r="C336" s="307" t="s">
        <v>256</v>
      </c>
      <c r="D336" s="420" t="s">
        <v>1127</v>
      </c>
      <c r="E336" s="420" t="s">
        <v>1127</v>
      </c>
      <c r="F336" s="420" t="s">
        <v>1127</v>
      </c>
      <c r="G336" s="421" t="s">
        <v>1127</v>
      </c>
      <c r="H336" s="421"/>
      <c r="I336" s="421"/>
      <c r="J336" s="421"/>
      <c r="K336" s="421"/>
      <c r="L336" s="421"/>
      <c r="M336" s="421"/>
      <c r="N336" s="421"/>
      <c r="O336" s="442"/>
    </row>
    <row r="337" spans="1:15" outlineLevel="1">
      <c r="A337" s="306">
        <v>37158</v>
      </c>
      <c r="B337" s="326" t="s">
        <v>339</v>
      </c>
      <c r="C337" s="307" t="s">
        <v>337</v>
      </c>
      <c r="D337" s="366">
        <v>0</v>
      </c>
      <c r="E337" s="366">
        <v>0</v>
      </c>
      <c r="F337" s="366">
        <v>0</v>
      </c>
      <c r="G337" s="411" t="e">
        <v>#DIV/0!</v>
      </c>
      <c r="H337" s="310"/>
      <c r="I337" s="820"/>
      <c r="J337" s="310"/>
      <c r="K337" s="310"/>
      <c r="L337" s="310"/>
      <c r="M337" s="310"/>
      <c r="N337" s="310"/>
      <c r="O337" s="806"/>
    </row>
    <row r="338" spans="1:15" outlineLevel="1">
      <c r="A338" s="306">
        <v>37523</v>
      </c>
      <c r="B338" s="326" t="s">
        <v>343</v>
      </c>
      <c r="C338" s="307" t="s">
        <v>61</v>
      </c>
      <c r="D338" s="366">
        <v>0</v>
      </c>
      <c r="E338" s="366">
        <v>0</v>
      </c>
      <c r="F338" s="366">
        <v>0</v>
      </c>
      <c r="G338" s="411" t="e">
        <v>#DIV/0!</v>
      </c>
      <c r="H338" s="310"/>
      <c r="I338" s="820"/>
      <c r="J338" s="310"/>
      <c r="K338" s="310"/>
      <c r="L338" s="310"/>
      <c r="M338" s="310"/>
      <c r="N338" s="310"/>
      <c r="O338" s="806"/>
    </row>
    <row r="339" spans="1:15" outlineLevel="1">
      <c r="A339" s="306">
        <v>37888</v>
      </c>
      <c r="B339" s="326" t="s">
        <v>340</v>
      </c>
      <c r="C339" s="307" t="s">
        <v>341</v>
      </c>
      <c r="D339" s="366">
        <v>0</v>
      </c>
      <c r="E339" s="366">
        <v>0</v>
      </c>
      <c r="F339" s="366">
        <v>0</v>
      </c>
      <c r="G339" s="378" t="e">
        <v>#DIV/0!</v>
      </c>
      <c r="H339" s="310"/>
      <c r="I339" s="820"/>
      <c r="J339" s="310"/>
      <c r="K339" s="310"/>
      <c r="L339" s="310"/>
      <c r="M339" s="310"/>
      <c r="N339" s="310"/>
      <c r="O339" s="806"/>
    </row>
    <row r="340" spans="1:15">
      <c r="A340" s="422" t="s">
        <v>346</v>
      </c>
      <c r="B340" s="423" t="s">
        <v>347</v>
      </c>
      <c r="C340" s="424" t="s">
        <v>256</v>
      </c>
      <c r="D340" s="425" t="s">
        <v>1127</v>
      </c>
      <c r="E340" s="425" t="s">
        <v>1127</v>
      </c>
      <c r="F340" s="425" t="s">
        <v>1127</v>
      </c>
      <c r="G340" s="425" t="s">
        <v>1127</v>
      </c>
      <c r="H340" s="426"/>
      <c r="I340" s="426"/>
      <c r="J340" s="426"/>
      <c r="K340" s="425"/>
      <c r="L340" s="425"/>
      <c r="M340" s="425"/>
      <c r="N340" s="425"/>
      <c r="O340" s="870"/>
    </row>
    <row r="341" spans="1:15" ht="31.5" outlineLevel="1">
      <c r="A341" s="306">
        <v>43490</v>
      </c>
      <c r="B341" s="374" t="s">
        <v>348</v>
      </c>
      <c r="C341" s="307" t="s">
        <v>337</v>
      </c>
      <c r="D341" s="427">
        <v>92.34</v>
      </c>
      <c r="E341" s="427">
        <v>117.93</v>
      </c>
      <c r="F341" s="330">
        <v>25.59</v>
      </c>
      <c r="G341" s="411">
        <v>27.71</v>
      </c>
      <c r="H341" s="427"/>
      <c r="I341" s="848"/>
      <c r="J341" s="427"/>
      <c r="K341" s="427"/>
      <c r="L341" s="427"/>
      <c r="M341" s="427"/>
      <c r="N341" s="427"/>
      <c r="O341" s="871"/>
    </row>
    <row r="342" spans="1:15" ht="31.5" outlineLevel="1">
      <c r="A342" s="306">
        <v>36916</v>
      </c>
      <c r="B342" s="326" t="s">
        <v>349</v>
      </c>
      <c r="C342" s="307" t="s">
        <v>337</v>
      </c>
      <c r="D342" s="427">
        <v>92.34</v>
      </c>
      <c r="E342" s="427">
        <v>117.93</v>
      </c>
      <c r="F342" s="330">
        <v>25.59</v>
      </c>
      <c r="G342" s="411">
        <v>27.71</v>
      </c>
      <c r="H342" s="427"/>
      <c r="I342" s="848"/>
      <c r="J342" s="427"/>
      <c r="K342" s="427"/>
      <c r="L342" s="427"/>
      <c r="M342" s="427"/>
      <c r="N342" s="427"/>
      <c r="O342" s="871"/>
    </row>
    <row r="343" spans="1:15" outlineLevel="1">
      <c r="A343" s="306" t="s">
        <v>350</v>
      </c>
      <c r="B343" s="414" t="s">
        <v>351</v>
      </c>
      <c r="C343" s="307" t="s">
        <v>337</v>
      </c>
      <c r="D343" s="428">
        <v>4.9000000000000002E-2</v>
      </c>
      <c r="E343" s="428">
        <v>4.54</v>
      </c>
      <c r="F343" s="330">
        <v>4.49</v>
      </c>
      <c r="G343" s="411">
        <v>9215.4699999999993</v>
      </c>
      <c r="H343" s="428"/>
      <c r="I343" s="428"/>
      <c r="J343" s="428"/>
      <c r="K343" s="428"/>
      <c r="L343" s="428"/>
      <c r="M343" s="428"/>
      <c r="N343" s="428"/>
      <c r="O343" s="806"/>
    </row>
    <row r="344" spans="1:15" outlineLevel="1">
      <c r="A344" s="306" t="s">
        <v>352</v>
      </c>
      <c r="B344" s="414" t="s">
        <v>353</v>
      </c>
      <c r="C344" s="307" t="s">
        <v>337</v>
      </c>
      <c r="D344" s="330">
        <v>92.29</v>
      </c>
      <c r="E344" s="330">
        <v>113.39</v>
      </c>
      <c r="F344" s="330">
        <v>21.09</v>
      </c>
      <c r="G344" s="411">
        <v>22.86</v>
      </c>
      <c r="H344" s="330"/>
      <c r="I344" s="330"/>
      <c r="J344" s="330"/>
      <c r="K344" s="330"/>
      <c r="L344" s="330"/>
      <c r="M344" s="330"/>
      <c r="N344" s="330"/>
      <c r="O344" s="849"/>
    </row>
    <row r="345" spans="1:15" outlineLevel="1">
      <c r="A345" s="306">
        <v>43521</v>
      </c>
      <c r="B345" s="374" t="s">
        <v>354</v>
      </c>
      <c r="C345" s="307" t="s">
        <v>337</v>
      </c>
      <c r="D345" s="330">
        <v>15.64</v>
      </c>
      <c r="E345" s="330">
        <v>15.16</v>
      </c>
      <c r="F345" s="330">
        <v>-0.48</v>
      </c>
      <c r="G345" s="411">
        <v>-3.05</v>
      </c>
      <c r="H345" s="330"/>
      <c r="I345" s="330"/>
      <c r="J345" s="330"/>
      <c r="K345" s="330"/>
      <c r="L345" s="330"/>
      <c r="M345" s="330"/>
      <c r="N345" s="330"/>
      <c r="O345" s="849"/>
    </row>
    <row r="346" spans="1:15" outlineLevel="1">
      <c r="A346" s="429">
        <v>43549</v>
      </c>
      <c r="B346" s="430" t="s">
        <v>1128</v>
      </c>
      <c r="C346" s="872" t="s">
        <v>61</v>
      </c>
      <c r="D346" s="431">
        <v>21.93</v>
      </c>
      <c r="E346" s="431">
        <v>21.93</v>
      </c>
      <c r="F346" s="431">
        <v>0</v>
      </c>
      <c r="G346" s="431">
        <v>0</v>
      </c>
      <c r="H346" s="431"/>
      <c r="I346" s="431"/>
      <c r="J346" s="431"/>
      <c r="K346" s="431"/>
      <c r="L346" s="431"/>
      <c r="M346" s="431"/>
      <c r="N346" s="431"/>
      <c r="O346" s="873"/>
    </row>
    <row r="347" spans="1:15" ht="31.5" outlineLevel="1">
      <c r="A347" s="429">
        <v>36975</v>
      </c>
      <c r="B347" s="432" t="s">
        <v>356</v>
      </c>
      <c r="C347" s="433" t="s">
        <v>61</v>
      </c>
      <c r="D347" s="434">
        <v>21.93</v>
      </c>
      <c r="E347" s="434">
        <v>21.93</v>
      </c>
      <c r="F347" s="431">
        <v>0</v>
      </c>
      <c r="G347" s="431">
        <v>0</v>
      </c>
      <c r="H347" s="434"/>
      <c r="I347" s="434"/>
      <c r="J347" s="435"/>
      <c r="K347" s="436"/>
      <c r="L347" s="435"/>
      <c r="M347" s="435"/>
      <c r="N347" s="435"/>
      <c r="O347" s="874"/>
    </row>
    <row r="348" spans="1:15" outlineLevel="1">
      <c r="A348" s="429" t="s">
        <v>357</v>
      </c>
      <c r="B348" s="437" t="s">
        <v>351</v>
      </c>
      <c r="C348" s="433" t="s">
        <v>61</v>
      </c>
      <c r="D348" s="438">
        <v>21.93</v>
      </c>
      <c r="E348" s="438">
        <v>21.93</v>
      </c>
      <c r="F348" s="431">
        <v>0</v>
      </c>
      <c r="G348" s="431">
        <v>0</v>
      </c>
      <c r="H348" s="438"/>
      <c r="I348" s="438"/>
      <c r="J348" s="438"/>
      <c r="K348" s="438"/>
      <c r="L348" s="438"/>
      <c r="M348" s="438"/>
      <c r="N348" s="438"/>
      <c r="O348" s="875"/>
    </row>
    <row r="349" spans="1:15" outlineLevel="1">
      <c r="A349" s="429" t="s">
        <v>358</v>
      </c>
      <c r="B349" s="437" t="s">
        <v>353</v>
      </c>
      <c r="C349" s="433" t="s">
        <v>61</v>
      </c>
      <c r="D349" s="439">
        <v>0</v>
      </c>
      <c r="E349" s="439">
        <v>0</v>
      </c>
      <c r="F349" s="431">
        <v>0</v>
      </c>
      <c r="G349" s="431" t="e">
        <v>#DIV/0!</v>
      </c>
      <c r="H349" s="439"/>
      <c r="I349" s="439"/>
      <c r="J349" s="439"/>
      <c r="K349" s="439"/>
      <c r="L349" s="439"/>
      <c r="M349" s="439"/>
      <c r="N349" s="439"/>
      <c r="O349" s="875"/>
    </row>
    <row r="350" spans="1:15" outlineLevel="1">
      <c r="A350" s="429">
        <v>43580</v>
      </c>
      <c r="B350" s="430" t="s">
        <v>359</v>
      </c>
      <c r="C350" s="433" t="s">
        <v>360</v>
      </c>
      <c r="D350" s="440">
        <v>3080.35</v>
      </c>
      <c r="E350" s="440">
        <v>3588.68</v>
      </c>
      <c r="F350" s="431">
        <v>508.33</v>
      </c>
      <c r="G350" s="431">
        <v>16.5</v>
      </c>
      <c r="H350" s="440"/>
      <c r="I350" s="440"/>
      <c r="J350" s="440"/>
      <c r="K350" s="440"/>
      <c r="L350" s="440"/>
      <c r="M350" s="440"/>
      <c r="N350" s="440"/>
      <c r="O350" s="876"/>
    </row>
    <row r="351" spans="1:15" ht="31.5" outlineLevel="1">
      <c r="A351" s="306">
        <v>43610</v>
      </c>
      <c r="B351" s="374" t="s">
        <v>1129</v>
      </c>
      <c r="C351" s="307" t="s">
        <v>1022</v>
      </c>
      <c r="D351" s="309">
        <v>105.19</v>
      </c>
      <c r="E351" s="309">
        <v>124.03</v>
      </c>
      <c r="F351" s="309">
        <v>18.84</v>
      </c>
      <c r="G351" s="309">
        <v>17.91</v>
      </c>
      <c r="H351" s="309"/>
      <c r="I351" s="309"/>
      <c r="J351" s="309"/>
      <c r="K351" s="309"/>
      <c r="L351" s="309"/>
      <c r="M351" s="309"/>
      <c r="N351" s="309"/>
      <c r="O351" s="840"/>
    </row>
    <row r="352" spans="1:15" outlineLevel="1">
      <c r="A352" s="306" t="s">
        <v>362</v>
      </c>
      <c r="B352" s="441" t="s">
        <v>363</v>
      </c>
      <c r="C352" s="307" t="s">
        <v>256</v>
      </c>
      <c r="D352" s="421" t="s">
        <v>1127</v>
      </c>
      <c r="E352" s="421" t="s">
        <v>1127</v>
      </c>
      <c r="F352" s="421" t="s">
        <v>1127</v>
      </c>
      <c r="G352" s="421" t="s">
        <v>1127</v>
      </c>
      <c r="H352" s="421"/>
      <c r="I352" s="421"/>
      <c r="J352" s="421"/>
      <c r="K352" s="421"/>
      <c r="L352" s="421"/>
      <c r="M352" s="421"/>
      <c r="N352" s="421"/>
      <c r="O352" s="442"/>
    </row>
    <row r="353" spans="1:15" outlineLevel="1">
      <c r="A353" s="306">
        <v>43491</v>
      </c>
      <c r="B353" s="374" t="s">
        <v>364</v>
      </c>
      <c r="C353" s="307" t="s">
        <v>337</v>
      </c>
      <c r="D353" s="366">
        <v>0</v>
      </c>
      <c r="E353" s="366">
        <v>0</v>
      </c>
      <c r="F353" s="330">
        <v>0</v>
      </c>
      <c r="G353" s="411" t="e">
        <v>#DIV/0!</v>
      </c>
      <c r="H353" s="310"/>
      <c r="I353" s="820"/>
      <c r="J353" s="310"/>
      <c r="K353" s="310"/>
      <c r="L353" s="310"/>
      <c r="M353" s="310"/>
      <c r="N353" s="310"/>
      <c r="O353" s="806"/>
    </row>
    <row r="354" spans="1:15" outlineLevel="1">
      <c r="A354" s="306">
        <v>43522</v>
      </c>
      <c r="B354" s="374" t="s">
        <v>365</v>
      </c>
      <c r="C354" s="307" t="s">
        <v>333</v>
      </c>
      <c r="D354" s="366">
        <v>0</v>
      </c>
      <c r="E354" s="366">
        <v>0</v>
      </c>
      <c r="F354" s="330">
        <v>0</v>
      </c>
      <c r="G354" s="411" t="e">
        <v>#DIV/0!</v>
      </c>
      <c r="H354" s="310"/>
      <c r="I354" s="820"/>
      <c r="J354" s="310"/>
      <c r="K354" s="310"/>
      <c r="L354" s="310"/>
      <c r="M354" s="310"/>
      <c r="N354" s="310"/>
      <c r="O354" s="806"/>
    </row>
    <row r="355" spans="1:15" ht="47.25" outlineLevel="1">
      <c r="A355" s="306">
        <v>43550</v>
      </c>
      <c r="B355" s="374" t="s">
        <v>1130</v>
      </c>
      <c r="C355" s="307" t="s">
        <v>1022</v>
      </c>
      <c r="D355" s="366">
        <v>0</v>
      </c>
      <c r="E355" s="366">
        <v>0</v>
      </c>
      <c r="F355" s="330">
        <v>0</v>
      </c>
      <c r="G355" s="411" t="e">
        <v>#DIV/0!</v>
      </c>
      <c r="H355" s="310"/>
      <c r="I355" s="820"/>
      <c r="J355" s="310"/>
      <c r="K355" s="310"/>
      <c r="L355" s="310"/>
      <c r="M355" s="310"/>
      <c r="N355" s="310"/>
      <c r="O355" s="806"/>
    </row>
    <row r="356" spans="1:15" ht="31.5" outlineLevel="1">
      <c r="A356" s="306">
        <v>43581</v>
      </c>
      <c r="B356" s="374" t="s">
        <v>367</v>
      </c>
      <c r="C356" s="307" t="s">
        <v>1022</v>
      </c>
      <c r="D356" s="366">
        <v>0</v>
      </c>
      <c r="E356" s="366">
        <v>0</v>
      </c>
      <c r="F356" s="330">
        <v>0</v>
      </c>
      <c r="G356" s="411" t="e">
        <v>#DIV/0!</v>
      </c>
      <c r="H356" s="310"/>
      <c r="I356" s="820"/>
      <c r="J356" s="310"/>
      <c r="K356" s="310"/>
      <c r="L356" s="310"/>
      <c r="M356" s="310"/>
      <c r="N356" s="310"/>
      <c r="O356" s="806"/>
    </row>
    <row r="357" spans="1:15" outlineLevel="1">
      <c r="A357" s="306" t="s">
        <v>368</v>
      </c>
      <c r="B357" s="441" t="s">
        <v>369</v>
      </c>
      <c r="C357" s="442" t="s">
        <v>256</v>
      </c>
      <c r="D357" s="420" t="s">
        <v>1127</v>
      </c>
      <c r="E357" s="420" t="s">
        <v>1127</v>
      </c>
      <c r="F357" s="421" t="s">
        <v>1127</v>
      </c>
      <c r="G357" s="421" t="s">
        <v>1127</v>
      </c>
      <c r="H357" s="421"/>
      <c r="I357" s="421"/>
      <c r="J357" s="421"/>
      <c r="K357" s="421"/>
      <c r="L357" s="421"/>
      <c r="M357" s="421"/>
      <c r="N357" s="421"/>
      <c r="O357" s="442"/>
    </row>
    <row r="358" spans="1:15" ht="18" customHeight="1" outlineLevel="1">
      <c r="A358" s="306">
        <v>43492</v>
      </c>
      <c r="B358" s="374" t="s">
        <v>370</v>
      </c>
      <c r="C358" s="307" t="s">
        <v>61</v>
      </c>
      <c r="D358" s="366">
        <v>0</v>
      </c>
      <c r="E358" s="366">
        <v>0</v>
      </c>
      <c r="F358" s="330">
        <v>0</v>
      </c>
      <c r="G358" s="411" t="e">
        <v>#DIV/0!</v>
      </c>
      <c r="H358" s="310"/>
      <c r="I358" s="820"/>
      <c r="J358" s="310"/>
      <c r="K358" s="310"/>
      <c r="L358" s="310"/>
      <c r="M358" s="310"/>
      <c r="N358" s="310"/>
      <c r="O358" s="806"/>
    </row>
    <row r="359" spans="1:15" ht="47.25" outlineLevel="1">
      <c r="A359" s="306">
        <v>36918</v>
      </c>
      <c r="B359" s="326" t="s">
        <v>371</v>
      </c>
      <c r="C359" s="307" t="s">
        <v>61</v>
      </c>
      <c r="D359" s="366">
        <v>0</v>
      </c>
      <c r="E359" s="366">
        <v>0</v>
      </c>
      <c r="F359" s="330">
        <v>0</v>
      </c>
      <c r="G359" s="411" t="e">
        <v>#DIV/0!</v>
      </c>
      <c r="H359" s="310"/>
      <c r="I359" s="820"/>
      <c r="J359" s="310"/>
      <c r="K359" s="310"/>
      <c r="L359" s="310"/>
      <c r="M359" s="310"/>
      <c r="N359" s="310"/>
      <c r="O359" s="806"/>
    </row>
    <row r="360" spans="1:15" ht="47.25" outlineLevel="1">
      <c r="A360" s="306">
        <v>37283</v>
      </c>
      <c r="B360" s="326" t="s">
        <v>372</v>
      </c>
      <c r="C360" s="307" t="s">
        <v>61</v>
      </c>
      <c r="D360" s="366">
        <v>0</v>
      </c>
      <c r="E360" s="366">
        <v>0</v>
      </c>
      <c r="F360" s="330">
        <v>0</v>
      </c>
      <c r="G360" s="411" t="e">
        <v>#DIV/0!</v>
      </c>
      <c r="H360" s="310"/>
      <c r="I360" s="820"/>
      <c r="J360" s="310"/>
      <c r="K360" s="310"/>
      <c r="L360" s="310"/>
      <c r="M360" s="310"/>
      <c r="N360" s="310"/>
      <c r="O360" s="806"/>
    </row>
    <row r="361" spans="1:15" ht="31.5" outlineLevel="1">
      <c r="A361" s="306">
        <v>37648</v>
      </c>
      <c r="B361" s="326" t="s">
        <v>373</v>
      </c>
      <c r="C361" s="307" t="s">
        <v>61</v>
      </c>
      <c r="D361" s="366">
        <v>0</v>
      </c>
      <c r="E361" s="366">
        <v>0</v>
      </c>
      <c r="F361" s="330">
        <v>0</v>
      </c>
      <c r="G361" s="411" t="e">
        <v>#DIV/0!</v>
      </c>
      <c r="H361" s="310"/>
      <c r="I361" s="820"/>
      <c r="J361" s="310"/>
      <c r="K361" s="310"/>
      <c r="L361" s="310"/>
      <c r="M361" s="310"/>
      <c r="N361" s="310"/>
      <c r="O361" s="806"/>
    </row>
    <row r="362" spans="1:15" outlineLevel="1">
      <c r="A362" s="306">
        <v>43523</v>
      </c>
      <c r="B362" s="374" t="s">
        <v>374</v>
      </c>
      <c r="C362" s="307" t="s">
        <v>337</v>
      </c>
      <c r="D362" s="366">
        <v>0</v>
      </c>
      <c r="E362" s="366">
        <v>0</v>
      </c>
      <c r="F362" s="330">
        <v>0</v>
      </c>
      <c r="G362" s="411" t="e">
        <v>#DIV/0!</v>
      </c>
      <c r="H362" s="310"/>
      <c r="I362" s="820"/>
      <c r="J362" s="310"/>
      <c r="K362" s="310"/>
      <c r="L362" s="310"/>
      <c r="M362" s="310"/>
      <c r="N362" s="310"/>
      <c r="O362" s="806"/>
    </row>
    <row r="363" spans="1:15" ht="31.5" outlineLevel="1">
      <c r="A363" s="306">
        <v>36949</v>
      </c>
      <c r="B363" s="326" t="s">
        <v>375</v>
      </c>
      <c r="C363" s="307" t="s">
        <v>337</v>
      </c>
      <c r="D363" s="366">
        <v>0</v>
      </c>
      <c r="E363" s="366">
        <v>0</v>
      </c>
      <c r="F363" s="330">
        <v>0</v>
      </c>
      <c r="G363" s="411" t="e">
        <v>#DIV/0!</v>
      </c>
      <c r="H363" s="310"/>
      <c r="I363" s="820"/>
      <c r="J363" s="310"/>
      <c r="K363" s="310"/>
      <c r="L363" s="310"/>
      <c r="M363" s="310"/>
      <c r="N363" s="310"/>
      <c r="O363" s="806"/>
    </row>
    <row r="364" spans="1:15" outlineLevel="1">
      <c r="A364" s="306">
        <v>37314</v>
      </c>
      <c r="B364" s="326" t="s">
        <v>376</v>
      </c>
      <c r="C364" s="307" t="s">
        <v>337</v>
      </c>
      <c r="D364" s="366">
        <v>0</v>
      </c>
      <c r="E364" s="366">
        <v>0</v>
      </c>
      <c r="F364" s="330">
        <v>0</v>
      </c>
      <c r="G364" s="411" t="e">
        <v>#DIV/0!</v>
      </c>
      <c r="H364" s="310"/>
      <c r="I364" s="820"/>
      <c r="J364" s="310"/>
      <c r="K364" s="310"/>
      <c r="L364" s="310"/>
      <c r="M364" s="310"/>
      <c r="N364" s="310"/>
      <c r="O364" s="806"/>
    </row>
    <row r="365" spans="1:15" ht="31.5" outlineLevel="1">
      <c r="A365" s="306">
        <v>43551</v>
      </c>
      <c r="B365" s="374" t="s">
        <v>377</v>
      </c>
      <c r="C365" s="307" t="s">
        <v>1022</v>
      </c>
      <c r="D365" s="366">
        <v>0</v>
      </c>
      <c r="E365" s="366">
        <v>0</v>
      </c>
      <c r="F365" s="330">
        <v>0</v>
      </c>
      <c r="G365" s="411" t="e">
        <v>#DIV/0!</v>
      </c>
      <c r="H365" s="310"/>
      <c r="I365" s="820"/>
      <c r="J365" s="310"/>
      <c r="K365" s="310"/>
      <c r="L365" s="310"/>
      <c r="M365" s="310"/>
      <c r="N365" s="310"/>
      <c r="O365" s="806"/>
    </row>
    <row r="366" spans="1:15" outlineLevel="1">
      <c r="A366" s="306">
        <v>36977</v>
      </c>
      <c r="B366" s="326" t="s">
        <v>1131</v>
      </c>
      <c r="C366" s="307" t="s">
        <v>1022</v>
      </c>
      <c r="D366" s="866">
        <v>0</v>
      </c>
      <c r="E366" s="866">
        <v>0</v>
      </c>
      <c r="F366" s="330">
        <v>0</v>
      </c>
      <c r="G366" s="411" t="e">
        <v>#DIV/0!</v>
      </c>
      <c r="H366" s="867"/>
      <c r="I366" s="868"/>
      <c r="J366" s="310"/>
      <c r="K366" s="867"/>
      <c r="L366" s="867"/>
      <c r="M366" s="867"/>
      <c r="N366" s="867"/>
      <c r="O366" s="857"/>
    </row>
    <row r="367" spans="1:15" outlineLevel="1">
      <c r="A367" s="306">
        <v>37342</v>
      </c>
      <c r="B367" s="326" t="s">
        <v>159</v>
      </c>
      <c r="C367" s="307" t="s">
        <v>1022</v>
      </c>
      <c r="D367" s="866">
        <v>0</v>
      </c>
      <c r="E367" s="866">
        <v>0</v>
      </c>
      <c r="F367" s="330">
        <v>0</v>
      </c>
      <c r="G367" s="411" t="e">
        <v>#DIV/0!</v>
      </c>
      <c r="H367" s="867"/>
      <c r="I367" s="868"/>
      <c r="J367" s="310"/>
      <c r="K367" s="867"/>
      <c r="L367" s="867"/>
      <c r="M367" s="867"/>
      <c r="N367" s="867"/>
      <c r="O367" s="857"/>
    </row>
    <row r="368" spans="1:15" ht="16.5" thickBot="1">
      <c r="A368" s="443" t="s">
        <v>378</v>
      </c>
      <c r="B368" s="444" t="s">
        <v>379</v>
      </c>
      <c r="C368" s="445" t="s">
        <v>1132</v>
      </c>
      <c r="D368" s="499">
        <v>103</v>
      </c>
      <c r="E368" s="499">
        <v>117</v>
      </c>
      <c r="F368" s="499">
        <v>14</v>
      </c>
      <c r="G368" s="500">
        <v>13.59</v>
      </c>
      <c r="H368" s="446"/>
      <c r="I368" s="447"/>
      <c r="J368" s="446"/>
      <c r="K368" s="446"/>
      <c r="L368" s="446"/>
      <c r="M368" s="446"/>
      <c r="N368" s="446"/>
      <c r="O368" s="877"/>
    </row>
    <row r="369" spans="1:15">
      <c r="A369" s="785" t="s">
        <v>1133</v>
      </c>
      <c r="B369" s="786"/>
      <c r="C369" s="786"/>
      <c r="D369" s="786"/>
      <c r="E369" s="786"/>
      <c r="F369" s="786"/>
      <c r="G369" s="786"/>
      <c r="H369" s="786"/>
      <c r="I369" s="786"/>
      <c r="J369" s="786"/>
      <c r="K369" s="786"/>
      <c r="L369" s="786"/>
      <c r="M369" s="786"/>
      <c r="N369" s="786"/>
      <c r="O369" s="878"/>
    </row>
    <row r="370" spans="1:15" ht="10.5" customHeight="1" thickBot="1">
      <c r="A370" s="785"/>
      <c r="B370" s="786"/>
      <c r="C370" s="786"/>
      <c r="D370" s="786"/>
      <c r="E370" s="786"/>
      <c r="F370" s="786"/>
      <c r="G370" s="786"/>
      <c r="H370" s="786"/>
      <c r="I370" s="786"/>
      <c r="J370" s="786"/>
      <c r="K370" s="786"/>
      <c r="L370" s="786"/>
      <c r="M370" s="786"/>
      <c r="N370" s="786"/>
      <c r="O370" s="878"/>
    </row>
    <row r="371" spans="1:15" ht="68.25" customHeight="1">
      <c r="A371" s="787" t="s">
        <v>1134</v>
      </c>
      <c r="B371" s="789" t="s">
        <v>137</v>
      </c>
      <c r="C371" s="791" t="s">
        <v>138</v>
      </c>
      <c r="D371" s="778" t="s">
        <v>1176</v>
      </c>
      <c r="E371" s="779"/>
      <c r="F371" s="779" t="s">
        <v>1104</v>
      </c>
      <c r="G371" s="779"/>
      <c r="H371" s="781"/>
      <c r="I371" s="782"/>
      <c r="J371" s="606"/>
      <c r="K371" s="606"/>
      <c r="L371" s="606"/>
      <c r="M371" s="606"/>
      <c r="N371" s="606"/>
      <c r="O371" s="879"/>
    </row>
    <row r="372" spans="1:15" ht="78.75" customHeight="1">
      <c r="A372" s="788"/>
      <c r="B372" s="790"/>
      <c r="C372" s="792"/>
      <c r="D372" s="800" t="s">
        <v>11</v>
      </c>
      <c r="E372" s="800" t="s">
        <v>12</v>
      </c>
      <c r="F372" s="800" t="s">
        <v>141</v>
      </c>
      <c r="G372" s="800" t="s">
        <v>1105</v>
      </c>
      <c r="H372" s="880"/>
      <c r="I372" s="448"/>
      <c r="J372" s="880"/>
      <c r="K372" s="880"/>
      <c r="L372" s="880"/>
      <c r="M372" s="880"/>
      <c r="N372" s="880"/>
      <c r="O372" s="488"/>
    </row>
    <row r="373" spans="1:15" ht="16.5" thickBot="1">
      <c r="A373" s="449">
        <v>1</v>
      </c>
      <c r="B373" s="450">
        <v>2</v>
      </c>
      <c r="C373" s="451">
        <v>3</v>
      </c>
      <c r="D373" s="452">
        <v>4</v>
      </c>
      <c r="E373" s="452">
        <v>5</v>
      </c>
      <c r="F373" s="452">
        <v>4</v>
      </c>
      <c r="G373" s="452">
        <v>5</v>
      </c>
      <c r="H373" s="452"/>
      <c r="I373" s="452"/>
      <c r="J373" s="452"/>
      <c r="K373" s="452"/>
      <c r="L373" s="452"/>
      <c r="M373" s="452"/>
      <c r="N373" s="452"/>
      <c r="O373" s="881"/>
    </row>
    <row r="374" spans="1:15" ht="30.75" customHeight="1" thickBot="1">
      <c r="A374" s="793" t="s">
        <v>1135</v>
      </c>
      <c r="B374" s="794"/>
      <c r="C374" s="407" t="s">
        <v>1022</v>
      </c>
      <c r="D374" s="453">
        <v>27.224</v>
      </c>
      <c r="E374" s="453">
        <v>19.704000000000001</v>
      </c>
      <c r="F374" s="453">
        <v>-7.52</v>
      </c>
      <c r="G374" s="453">
        <v>-27.620999999999999</v>
      </c>
      <c r="H374" s="453"/>
      <c r="I374" s="453"/>
      <c r="J374" s="453"/>
      <c r="K374" s="453"/>
      <c r="L374" s="453"/>
      <c r="M374" s="453"/>
      <c r="N374" s="453"/>
      <c r="O374" s="453"/>
    </row>
    <row r="375" spans="1:15" ht="16.5" thickBot="1">
      <c r="A375" s="454" t="s">
        <v>144</v>
      </c>
      <c r="B375" s="455" t="s">
        <v>384</v>
      </c>
      <c r="C375" s="456" t="s">
        <v>1022</v>
      </c>
      <c r="D375" s="457">
        <v>19.663</v>
      </c>
      <c r="E375" s="457">
        <v>12.143000000000001</v>
      </c>
      <c r="F375" s="457">
        <v>-7.52</v>
      </c>
      <c r="G375" s="457">
        <v>-38.243000000000002</v>
      </c>
      <c r="H375" s="457"/>
      <c r="I375" s="457"/>
      <c r="J375" s="457"/>
      <c r="K375" s="457"/>
      <c r="L375" s="457"/>
      <c r="M375" s="457"/>
      <c r="N375" s="457"/>
      <c r="O375" s="457"/>
    </row>
    <row r="376" spans="1:15">
      <c r="A376" s="337">
        <v>43466</v>
      </c>
      <c r="B376" s="458" t="s">
        <v>385</v>
      </c>
      <c r="C376" s="339" t="s">
        <v>1022</v>
      </c>
      <c r="D376" s="459">
        <v>9.0410000000000004</v>
      </c>
      <c r="E376" s="459">
        <v>2.9239999999999999</v>
      </c>
      <c r="F376" s="459">
        <v>-6.117</v>
      </c>
      <c r="G376" s="459">
        <v>-67.656000000000006</v>
      </c>
      <c r="H376" s="460"/>
      <c r="I376" s="460"/>
      <c r="J376" s="460"/>
      <c r="K376" s="460"/>
      <c r="L376" s="460"/>
      <c r="M376" s="460"/>
      <c r="N376" s="460"/>
      <c r="O376" s="882"/>
    </row>
    <row r="377" spans="1:15" ht="31.5">
      <c r="A377" s="306">
        <v>36892</v>
      </c>
      <c r="B377" s="326" t="s">
        <v>386</v>
      </c>
      <c r="C377" s="307" t="s">
        <v>1022</v>
      </c>
      <c r="D377" s="461">
        <v>4.0199999999999996</v>
      </c>
      <c r="E377" s="461">
        <v>2.9239999999999999</v>
      </c>
      <c r="F377" s="461">
        <v>-1.0960000000000001</v>
      </c>
      <c r="G377" s="461">
        <v>-27.257999999999999</v>
      </c>
      <c r="H377" s="461"/>
      <c r="I377" s="461"/>
      <c r="J377" s="461"/>
      <c r="K377" s="461"/>
      <c r="L377" s="461"/>
      <c r="M377" s="461"/>
      <c r="N377" s="461"/>
      <c r="O377" s="883"/>
    </row>
    <row r="378" spans="1:15">
      <c r="A378" s="306" t="s">
        <v>387</v>
      </c>
      <c r="B378" s="344" t="s">
        <v>388</v>
      </c>
      <c r="C378" s="307" t="s">
        <v>1022</v>
      </c>
      <c r="D378" s="461">
        <v>0</v>
      </c>
      <c r="E378" s="461">
        <v>0</v>
      </c>
      <c r="F378" s="461">
        <v>0</v>
      </c>
      <c r="G378" s="461" t="e">
        <v>#DIV/0!</v>
      </c>
      <c r="H378" s="461"/>
      <c r="I378" s="461"/>
      <c r="J378" s="461"/>
      <c r="K378" s="461"/>
      <c r="L378" s="461"/>
      <c r="M378" s="461"/>
      <c r="N378" s="461"/>
      <c r="O378" s="884"/>
    </row>
    <row r="379" spans="1:15" ht="31.5">
      <c r="A379" s="306" t="s">
        <v>389</v>
      </c>
      <c r="B379" s="349" t="s">
        <v>148</v>
      </c>
      <c r="C379" s="307" t="s">
        <v>1022</v>
      </c>
      <c r="D379" s="463">
        <v>0</v>
      </c>
      <c r="E379" s="463">
        <v>0</v>
      </c>
      <c r="F379" s="461">
        <v>0</v>
      </c>
      <c r="G379" s="461" t="e">
        <v>#DIV/0!</v>
      </c>
      <c r="H379" s="885"/>
      <c r="I379" s="464"/>
      <c r="J379" s="465"/>
      <c r="K379" s="462"/>
      <c r="L379" s="462"/>
      <c r="M379" s="462"/>
      <c r="N379" s="462"/>
      <c r="O379" s="884"/>
    </row>
    <row r="380" spans="1:15" ht="31.5">
      <c r="A380" s="306" t="s">
        <v>390</v>
      </c>
      <c r="B380" s="349" t="s">
        <v>149</v>
      </c>
      <c r="C380" s="307" t="s">
        <v>1022</v>
      </c>
      <c r="D380" s="463">
        <v>0</v>
      </c>
      <c r="E380" s="463">
        <v>0</v>
      </c>
      <c r="F380" s="461">
        <v>0</v>
      </c>
      <c r="G380" s="461" t="e">
        <v>#DIV/0!</v>
      </c>
      <c r="H380" s="885"/>
      <c r="I380" s="464"/>
      <c r="J380" s="465"/>
      <c r="K380" s="462"/>
      <c r="L380" s="462"/>
      <c r="M380" s="462"/>
      <c r="N380" s="462"/>
      <c r="O380" s="884"/>
    </row>
    <row r="381" spans="1:15" ht="31.5">
      <c r="A381" s="306" t="s">
        <v>391</v>
      </c>
      <c r="B381" s="349" t="s">
        <v>150</v>
      </c>
      <c r="C381" s="307" t="s">
        <v>1022</v>
      </c>
      <c r="D381" s="463">
        <v>0</v>
      </c>
      <c r="E381" s="463">
        <v>0</v>
      </c>
      <c r="F381" s="461">
        <v>0</v>
      </c>
      <c r="G381" s="461" t="e">
        <v>#DIV/0!</v>
      </c>
      <c r="H381" s="885"/>
      <c r="I381" s="464"/>
      <c r="J381" s="465"/>
      <c r="K381" s="462"/>
      <c r="L381" s="462"/>
      <c r="M381" s="462"/>
      <c r="N381" s="462"/>
      <c r="O381" s="884"/>
    </row>
    <row r="382" spans="1:15" ht="18.75">
      <c r="A382" s="306" t="s">
        <v>392</v>
      </c>
      <c r="B382" s="344" t="s">
        <v>393</v>
      </c>
      <c r="C382" s="307" t="s">
        <v>1022</v>
      </c>
      <c r="D382" s="463">
        <v>0</v>
      </c>
      <c r="E382" s="463">
        <v>0</v>
      </c>
      <c r="F382" s="461">
        <v>0</v>
      </c>
      <c r="G382" s="461" t="e">
        <v>#DIV/0!</v>
      </c>
      <c r="H382" s="885"/>
      <c r="I382" s="464"/>
      <c r="J382" s="465"/>
      <c r="K382" s="462"/>
      <c r="L382" s="462"/>
      <c r="M382" s="462"/>
      <c r="N382" s="462"/>
      <c r="O382" s="884"/>
    </row>
    <row r="383" spans="1:15">
      <c r="A383" s="466" t="s">
        <v>394</v>
      </c>
      <c r="B383" s="467" t="s">
        <v>395</v>
      </c>
      <c r="C383" s="468" t="s">
        <v>1022</v>
      </c>
      <c r="D383" s="469">
        <v>4.0199999999999996</v>
      </c>
      <c r="E383" s="469">
        <v>2.9239999999999999</v>
      </c>
      <c r="F383" s="469">
        <v>-1.0960000000000001</v>
      </c>
      <c r="G383" s="469">
        <v>-27.257999999999999</v>
      </c>
      <c r="H383" s="886"/>
      <c r="I383" s="469"/>
      <c r="J383" s="469"/>
      <c r="K383" s="469"/>
      <c r="L383" s="469"/>
      <c r="M383" s="469"/>
      <c r="N383" s="469"/>
      <c r="O383" s="887"/>
    </row>
    <row r="384" spans="1:15" ht="18.75">
      <c r="A384" s="306" t="s">
        <v>396</v>
      </c>
      <c r="B384" s="344" t="s">
        <v>397</v>
      </c>
      <c r="C384" s="307" t="s">
        <v>1022</v>
      </c>
      <c r="D384" s="463">
        <v>0</v>
      </c>
      <c r="E384" s="463">
        <v>0</v>
      </c>
      <c r="F384" s="461">
        <v>0</v>
      </c>
      <c r="G384" s="461" t="e">
        <v>#DIV/0!</v>
      </c>
      <c r="H384" s="885"/>
      <c r="I384" s="464"/>
      <c r="J384" s="465"/>
      <c r="K384" s="462"/>
      <c r="L384" s="462"/>
      <c r="M384" s="462"/>
      <c r="N384" s="462"/>
      <c r="O384" s="888"/>
    </row>
    <row r="385" spans="1:15">
      <c r="A385" s="466" t="s">
        <v>398</v>
      </c>
      <c r="B385" s="467" t="s">
        <v>399</v>
      </c>
      <c r="C385" s="468" t="s">
        <v>1022</v>
      </c>
      <c r="D385" s="469">
        <v>0</v>
      </c>
      <c r="E385" s="469">
        <v>0</v>
      </c>
      <c r="F385" s="469">
        <v>0</v>
      </c>
      <c r="G385" s="469" t="e">
        <v>#DIV/0!</v>
      </c>
      <c r="H385" s="886"/>
      <c r="I385" s="469"/>
      <c r="J385" s="469"/>
      <c r="K385" s="469"/>
      <c r="L385" s="469"/>
      <c r="M385" s="469"/>
      <c r="N385" s="469"/>
      <c r="O385" s="887"/>
    </row>
    <row r="386" spans="1:15" ht="31.5">
      <c r="A386" s="306" t="s">
        <v>400</v>
      </c>
      <c r="B386" s="349" t="s">
        <v>401</v>
      </c>
      <c r="C386" s="307" t="s">
        <v>1022</v>
      </c>
      <c r="D386" s="463">
        <v>0</v>
      </c>
      <c r="E386" s="463">
        <v>0</v>
      </c>
      <c r="F386" s="461">
        <v>0</v>
      </c>
      <c r="G386" s="461" t="e">
        <v>#DIV/0!</v>
      </c>
      <c r="H386" s="885"/>
      <c r="I386" s="464"/>
      <c r="J386" s="465"/>
      <c r="K386" s="462"/>
      <c r="L386" s="462"/>
      <c r="M386" s="462"/>
      <c r="N386" s="462"/>
      <c r="O386" s="888"/>
    </row>
    <row r="387" spans="1:15" ht="18.75">
      <c r="A387" s="306" t="s">
        <v>402</v>
      </c>
      <c r="B387" s="349" t="s">
        <v>1136</v>
      </c>
      <c r="C387" s="307" t="s">
        <v>1022</v>
      </c>
      <c r="D387" s="463">
        <v>0</v>
      </c>
      <c r="E387" s="463">
        <v>0</v>
      </c>
      <c r="F387" s="461">
        <v>0</v>
      </c>
      <c r="G387" s="461" t="e">
        <v>#DIV/0!</v>
      </c>
      <c r="H387" s="885"/>
      <c r="I387" s="464"/>
      <c r="J387" s="889"/>
      <c r="K387" s="462"/>
      <c r="L387" s="462"/>
      <c r="M387" s="462"/>
      <c r="N387" s="462"/>
      <c r="O387" s="884"/>
    </row>
    <row r="388" spans="1:15">
      <c r="A388" s="466" t="s">
        <v>404</v>
      </c>
      <c r="B388" s="470" t="s">
        <v>405</v>
      </c>
      <c r="C388" s="468" t="s">
        <v>1022</v>
      </c>
      <c r="D388" s="471">
        <v>0</v>
      </c>
      <c r="E388" s="471">
        <v>0</v>
      </c>
      <c r="F388" s="471">
        <v>0</v>
      </c>
      <c r="G388" s="471" t="e">
        <v>#DIV/0!</v>
      </c>
      <c r="H388" s="471"/>
      <c r="I388" s="471"/>
      <c r="J388" s="471"/>
      <c r="K388" s="471"/>
      <c r="L388" s="471"/>
      <c r="M388" s="471"/>
      <c r="N388" s="471"/>
      <c r="O388" s="887"/>
    </row>
    <row r="389" spans="1:15" ht="18.75">
      <c r="A389" s="306" t="s">
        <v>406</v>
      </c>
      <c r="B389" s="349" t="s">
        <v>1136</v>
      </c>
      <c r="C389" s="307" t="s">
        <v>1022</v>
      </c>
      <c r="D389" s="463">
        <v>0</v>
      </c>
      <c r="E389" s="463">
        <v>0</v>
      </c>
      <c r="F389" s="461">
        <v>0</v>
      </c>
      <c r="G389" s="461" t="e">
        <v>#DIV/0!</v>
      </c>
      <c r="H389" s="885"/>
      <c r="I389" s="464"/>
      <c r="J389" s="889"/>
      <c r="K389" s="462"/>
      <c r="L389" s="462"/>
      <c r="M389" s="462"/>
      <c r="N389" s="462"/>
      <c r="O389" s="884"/>
    </row>
    <row r="390" spans="1:15" ht="18.75">
      <c r="A390" s="306" t="s">
        <v>407</v>
      </c>
      <c r="B390" s="344" t="s">
        <v>408</v>
      </c>
      <c r="C390" s="307" t="s">
        <v>1022</v>
      </c>
      <c r="D390" s="463">
        <v>0</v>
      </c>
      <c r="E390" s="463">
        <v>0</v>
      </c>
      <c r="F390" s="461">
        <v>0</v>
      </c>
      <c r="G390" s="461" t="e">
        <v>#DIV/0!</v>
      </c>
      <c r="H390" s="885"/>
      <c r="I390" s="464"/>
      <c r="J390" s="889"/>
      <c r="K390" s="462"/>
      <c r="L390" s="462"/>
      <c r="M390" s="462"/>
      <c r="N390" s="462"/>
      <c r="O390" s="884"/>
    </row>
    <row r="391" spans="1:15" ht="18.75">
      <c r="A391" s="306" t="s">
        <v>409</v>
      </c>
      <c r="B391" s="344" t="s">
        <v>277</v>
      </c>
      <c r="C391" s="307" t="s">
        <v>1022</v>
      </c>
      <c r="D391" s="463">
        <v>0</v>
      </c>
      <c r="E391" s="463">
        <v>0</v>
      </c>
      <c r="F391" s="461">
        <v>0</v>
      </c>
      <c r="G391" s="461" t="e">
        <v>#DIV/0!</v>
      </c>
      <c r="H391" s="885"/>
      <c r="I391" s="464"/>
      <c r="J391" s="889"/>
      <c r="K391" s="462"/>
      <c r="L391" s="462"/>
      <c r="M391" s="462"/>
      <c r="N391" s="462"/>
      <c r="O391" s="884"/>
    </row>
    <row r="392" spans="1:15" ht="31.5">
      <c r="A392" s="306" t="s">
        <v>410</v>
      </c>
      <c r="B392" s="344" t="s">
        <v>411</v>
      </c>
      <c r="C392" s="307" t="s">
        <v>1022</v>
      </c>
      <c r="D392" s="463">
        <v>0</v>
      </c>
      <c r="E392" s="463">
        <v>0</v>
      </c>
      <c r="F392" s="461">
        <v>0</v>
      </c>
      <c r="G392" s="461" t="e">
        <v>#DIV/0!</v>
      </c>
      <c r="H392" s="885"/>
      <c r="I392" s="464"/>
      <c r="J392" s="889"/>
      <c r="K392" s="462"/>
      <c r="L392" s="462"/>
      <c r="M392" s="462"/>
      <c r="N392" s="462"/>
      <c r="O392" s="884"/>
    </row>
    <row r="393" spans="1:15" ht="18" customHeight="1">
      <c r="A393" s="306" t="s">
        <v>412</v>
      </c>
      <c r="B393" s="349" t="s">
        <v>1108</v>
      </c>
      <c r="C393" s="307" t="s">
        <v>1022</v>
      </c>
      <c r="D393" s="463">
        <v>0</v>
      </c>
      <c r="E393" s="463">
        <v>0</v>
      </c>
      <c r="F393" s="461">
        <v>0</v>
      </c>
      <c r="G393" s="461" t="e">
        <v>#DIV/0!</v>
      </c>
      <c r="H393" s="885"/>
      <c r="I393" s="464"/>
      <c r="J393" s="889"/>
      <c r="K393" s="462"/>
      <c r="L393" s="462"/>
      <c r="M393" s="462"/>
      <c r="N393" s="462"/>
      <c r="O393" s="884"/>
    </row>
    <row r="394" spans="1:15" ht="18" customHeight="1">
      <c r="A394" s="306" t="s">
        <v>413</v>
      </c>
      <c r="B394" s="472" t="s">
        <v>159</v>
      </c>
      <c r="C394" s="307" t="s">
        <v>1022</v>
      </c>
      <c r="D394" s="463">
        <v>0</v>
      </c>
      <c r="E394" s="463">
        <v>0</v>
      </c>
      <c r="F394" s="461">
        <v>0</v>
      </c>
      <c r="G394" s="461" t="e">
        <v>#DIV/0!</v>
      </c>
      <c r="H394" s="885"/>
      <c r="I394" s="464"/>
      <c r="J394" s="889"/>
      <c r="K394" s="462"/>
      <c r="L394" s="462"/>
      <c r="M394" s="462"/>
      <c r="N394" s="462"/>
      <c r="O394" s="884"/>
    </row>
    <row r="395" spans="1:15" ht="31.5">
      <c r="A395" s="306">
        <v>37257</v>
      </c>
      <c r="B395" s="326" t="s">
        <v>414</v>
      </c>
      <c r="C395" s="307" t="s">
        <v>1022</v>
      </c>
      <c r="D395" s="461">
        <v>0</v>
      </c>
      <c r="E395" s="461">
        <v>0</v>
      </c>
      <c r="F395" s="461">
        <v>0</v>
      </c>
      <c r="G395" s="461" t="e">
        <v>#DIV/0!</v>
      </c>
      <c r="H395" s="890"/>
      <c r="I395" s="461"/>
      <c r="J395" s="891"/>
      <c r="K395" s="461"/>
      <c r="L395" s="461"/>
      <c r="M395" s="461"/>
      <c r="N395" s="461"/>
      <c r="O395" s="884"/>
    </row>
    <row r="396" spans="1:15" ht="31.5">
      <c r="A396" s="306" t="s">
        <v>415</v>
      </c>
      <c r="B396" s="344" t="s">
        <v>148</v>
      </c>
      <c r="C396" s="307" t="s">
        <v>1022</v>
      </c>
      <c r="D396" s="463">
        <v>0</v>
      </c>
      <c r="E396" s="463">
        <v>0</v>
      </c>
      <c r="F396" s="461">
        <v>0</v>
      </c>
      <c r="G396" s="461" t="e">
        <v>#DIV/0!</v>
      </c>
      <c r="H396" s="885"/>
      <c r="I396" s="464"/>
      <c r="J396" s="892"/>
      <c r="K396" s="462"/>
      <c r="L396" s="462"/>
      <c r="M396" s="462"/>
      <c r="N396" s="462"/>
      <c r="O396" s="884"/>
    </row>
    <row r="397" spans="1:15" ht="31.5">
      <c r="A397" s="306" t="s">
        <v>416</v>
      </c>
      <c r="B397" s="344" t="s">
        <v>149</v>
      </c>
      <c r="C397" s="307" t="s">
        <v>1022</v>
      </c>
      <c r="D397" s="463">
        <v>0</v>
      </c>
      <c r="E397" s="463">
        <v>0</v>
      </c>
      <c r="F397" s="461">
        <v>0</v>
      </c>
      <c r="G397" s="461" t="e">
        <v>#DIV/0!</v>
      </c>
      <c r="H397" s="885"/>
      <c r="I397" s="464"/>
      <c r="J397" s="892"/>
      <c r="K397" s="462"/>
      <c r="L397" s="462"/>
      <c r="M397" s="462"/>
      <c r="N397" s="462"/>
      <c r="O397" s="884"/>
    </row>
    <row r="398" spans="1:15" ht="31.5">
      <c r="A398" s="306" t="s">
        <v>417</v>
      </c>
      <c r="B398" s="344" t="s">
        <v>150</v>
      </c>
      <c r="C398" s="307" t="s">
        <v>1022</v>
      </c>
      <c r="D398" s="463">
        <v>0</v>
      </c>
      <c r="E398" s="463">
        <v>0</v>
      </c>
      <c r="F398" s="461">
        <v>0</v>
      </c>
      <c r="G398" s="461" t="e">
        <v>#DIV/0!</v>
      </c>
      <c r="H398" s="885"/>
      <c r="I398" s="464"/>
      <c r="J398" s="892"/>
      <c r="K398" s="462"/>
      <c r="L398" s="462"/>
      <c r="M398" s="462"/>
      <c r="N398" s="462"/>
      <c r="O398" s="884"/>
    </row>
    <row r="399" spans="1:15" ht="18.75">
      <c r="A399" s="306">
        <v>37622</v>
      </c>
      <c r="B399" s="326" t="s">
        <v>418</v>
      </c>
      <c r="C399" s="307" t="s">
        <v>1022</v>
      </c>
      <c r="D399" s="463">
        <v>5.0209999999999999</v>
      </c>
      <c r="E399" s="463">
        <v>0</v>
      </c>
      <c r="F399" s="461">
        <v>-5.0209999999999999</v>
      </c>
      <c r="G399" s="461">
        <v>-100</v>
      </c>
      <c r="H399" s="885"/>
      <c r="I399" s="464"/>
      <c r="J399" s="892"/>
      <c r="K399" s="462"/>
      <c r="L399" s="462"/>
      <c r="M399" s="462"/>
      <c r="N399" s="462"/>
      <c r="O399" s="884"/>
    </row>
    <row r="400" spans="1:15">
      <c r="A400" s="466">
        <v>43497</v>
      </c>
      <c r="B400" s="473" t="s">
        <v>419</v>
      </c>
      <c r="C400" s="468" t="s">
        <v>1022</v>
      </c>
      <c r="D400" s="474">
        <v>6.4690000000000003</v>
      </c>
      <c r="E400" s="474">
        <v>6.3460000000000001</v>
      </c>
      <c r="F400" s="474">
        <v>-0.123</v>
      </c>
      <c r="G400" s="474">
        <v>-1.905</v>
      </c>
      <c r="H400" s="893"/>
      <c r="I400" s="474"/>
      <c r="J400" s="894"/>
      <c r="K400" s="474"/>
      <c r="L400" s="474"/>
      <c r="M400" s="474"/>
      <c r="N400" s="474"/>
      <c r="O400" s="895"/>
    </row>
    <row r="401" spans="1:15">
      <c r="A401" s="306">
        <v>36923</v>
      </c>
      <c r="B401" s="326" t="s">
        <v>420</v>
      </c>
      <c r="C401" s="307" t="s">
        <v>1022</v>
      </c>
      <c r="D401" s="461">
        <v>6.4690000000000003</v>
      </c>
      <c r="E401" s="461">
        <v>6.3460000000000001</v>
      </c>
      <c r="F401" s="461">
        <v>-0.123</v>
      </c>
      <c r="G401" s="461">
        <v>-1.905</v>
      </c>
      <c r="H401" s="890"/>
      <c r="I401" s="461"/>
      <c r="J401" s="891"/>
      <c r="K401" s="461"/>
      <c r="L401" s="461"/>
      <c r="M401" s="461"/>
      <c r="N401" s="461"/>
      <c r="O401" s="883"/>
    </row>
    <row r="402" spans="1:15">
      <c r="A402" s="306" t="s">
        <v>421</v>
      </c>
      <c r="B402" s="344" t="s">
        <v>422</v>
      </c>
      <c r="C402" s="307" t="s">
        <v>1022</v>
      </c>
      <c r="D402" s="461">
        <v>0</v>
      </c>
      <c r="E402" s="461">
        <v>0</v>
      </c>
      <c r="F402" s="461">
        <v>0</v>
      </c>
      <c r="G402" s="461" t="e">
        <v>#DIV/0!</v>
      </c>
      <c r="H402" s="890"/>
      <c r="I402" s="461"/>
      <c r="J402" s="891"/>
      <c r="K402" s="461"/>
      <c r="L402" s="461"/>
      <c r="M402" s="461"/>
      <c r="N402" s="461"/>
      <c r="O402" s="883"/>
    </row>
    <row r="403" spans="1:15" ht="31.5">
      <c r="A403" s="306" t="s">
        <v>423</v>
      </c>
      <c r="B403" s="344" t="s">
        <v>148</v>
      </c>
      <c r="C403" s="307" t="s">
        <v>1022</v>
      </c>
      <c r="D403" s="463">
        <v>0</v>
      </c>
      <c r="E403" s="463">
        <v>0</v>
      </c>
      <c r="F403" s="461">
        <v>0</v>
      </c>
      <c r="G403" s="461" t="e">
        <v>#DIV/0!</v>
      </c>
      <c r="H403" s="885"/>
      <c r="I403" s="464"/>
      <c r="J403" s="889"/>
      <c r="K403" s="462"/>
      <c r="L403" s="462"/>
      <c r="M403" s="462"/>
      <c r="N403" s="462"/>
      <c r="O403" s="884"/>
    </row>
    <row r="404" spans="1:15" ht="31.5">
      <c r="A404" s="306" t="s">
        <v>424</v>
      </c>
      <c r="B404" s="344" t="s">
        <v>149</v>
      </c>
      <c r="C404" s="307" t="s">
        <v>1022</v>
      </c>
      <c r="D404" s="463">
        <v>0</v>
      </c>
      <c r="E404" s="463">
        <v>0</v>
      </c>
      <c r="F404" s="461">
        <v>0</v>
      </c>
      <c r="G404" s="461" t="e">
        <v>#DIV/0!</v>
      </c>
      <c r="H404" s="885"/>
      <c r="I404" s="464"/>
      <c r="J404" s="889"/>
      <c r="K404" s="462"/>
      <c r="L404" s="462"/>
      <c r="M404" s="462"/>
      <c r="N404" s="462"/>
      <c r="O404" s="884"/>
    </row>
    <row r="405" spans="1:15" ht="31.5">
      <c r="A405" s="306" t="s">
        <v>425</v>
      </c>
      <c r="B405" s="344" t="s">
        <v>150</v>
      </c>
      <c r="C405" s="307" t="s">
        <v>1022</v>
      </c>
      <c r="D405" s="463">
        <v>0</v>
      </c>
      <c r="E405" s="463">
        <v>0</v>
      </c>
      <c r="F405" s="461">
        <v>0</v>
      </c>
      <c r="G405" s="461" t="e">
        <v>#DIV/0!</v>
      </c>
      <c r="H405" s="885"/>
      <c r="I405" s="464"/>
      <c r="J405" s="889"/>
      <c r="K405" s="462"/>
      <c r="L405" s="462"/>
      <c r="M405" s="462"/>
      <c r="N405" s="462"/>
      <c r="O405" s="884"/>
    </row>
    <row r="406" spans="1:15" ht="18.75">
      <c r="A406" s="306" t="s">
        <v>426</v>
      </c>
      <c r="B406" s="344" t="s">
        <v>267</v>
      </c>
      <c r="C406" s="307" t="s">
        <v>1022</v>
      </c>
      <c r="D406" s="463">
        <v>0</v>
      </c>
      <c r="E406" s="463">
        <v>0</v>
      </c>
      <c r="F406" s="461">
        <v>0</v>
      </c>
      <c r="G406" s="461" t="e">
        <v>#DIV/0!</v>
      </c>
      <c r="H406" s="885"/>
      <c r="I406" s="464"/>
      <c r="J406" s="889"/>
      <c r="K406" s="462"/>
      <c r="L406" s="462"/>
      <c r="M406" s="462"/>
      <c r="N406" s="462"/>
      <c r="O406" s="884"/>
    </row>
    <row r="407" spans="1:15">
      <c r="A407" s="315" t="s">
        <v>427</v>
      </c>
      <c r="B407" s="475" t="s">
        <v>269</v>
      </c>
      <c r="C407" s="317" t="s">
        <v>1022</v>
      </c>
      <c r="D407" s="476">
        <v>6.4690000000000003</v>
      </c>
      <c r="E407" s="476">
        <v>6.3460000000000001</v>
      </c>
      <c r="F407" s="477">
        <v>-0.123</v>
      </c>
      <c r="G407" s="476">
        <v>-1.905</v>
      </c>
      <c r="H407" s="896"/>
      <c r="I407" s="896"/>
      <c r="J407" s="897"/>
      <c r="K407" s="477"/>
      <c r="L407" s="477"/>
      <c r="M407" s="477"/>
      <c r="N407" s="477"/>
      <c r="O407" s="887"/>
    </row>
    <row r="408" spans="1:15" ht="18.75">
      <c r="A408" s="306" t="s">
        <v>428</v>
      </c>
      <c r="B408" s="344" t="s">
        <v>271</v>
      </c>
      <c r="C408" s="307" t="s">
        <v>1022</v>
      </c>
      <c r="D408" s="463">
        <v>0</v>
      </c>
      <c r="E408" s="463">
        <v>0</v>
      </c>
      <c r="F408" s="461">
        <v>0</v>
      </c>
      <c r="G408" s="461" t="e">
        <v>#DIV/0!</v>
      </c>
      <c r="H408" s="885"/>
      <c r="I408" s="464"/>
      <c r="J408" s="889"/>
      <c r="K408" s="462"/>
      <c r="L408" s="462"/>
      <c r="M408" s="462"/>
      <c r="N408" s="462"/>
      <c r="O408" s="884"/>
    </row>
    <row r="409" spans="1:15" ht="18.75">
      <c r="A409" s="306" t="s">
        <v>429</v>
      </c>
      <c r="B409" s="344" t="s">
        <v>275</v>
      </c>
      <c r="C409" s="307" t="s">
        <v>1022</v>
      </c>
      <c r="D409" s="463">
        <v>0</v>
      </c>
      <c r="E409" s="463">
        <v>0</v>
      </c>
      <c r="F409" s="461">
        <v>0</v>
      </c>
      <c r="G409" s="461" t="e">
        <v>#DIV/0!</v>
      </c>
      <c r="H409" s="885"/>
      <c r="I409" s="464"/>
      <c r="J409" s="889"/>
      <c r="K409" s="462"/>
      <c r="L409" s="462"/>
      <c r="M409" s="462"/>
      <c r="N409" s="462"/>
      <c r="O409" s="884"/>
    </row>
    <row r="410" spans="1:15" ht="18.75">
      <c r="A410" s="306" t="s">
        <v>430</v>
      </c>
      <c r="B410" s="344" t="s">
        <v>277</v>
      </c>
      <c r="C410" s="307" t="s">
        <v>1022</v>
      </c>
      <c r="D410" s="463">
        <v>0</v>
      </c>
      <c r="E410" s="463">
        <v>0</v>
      </c>
      <c r="F410" s="461">
        <v>0</v>
      </c>
      <c r="G410" s="461" t="e">
        <v>#DIV/0!</v>
      </c>
      <c r="H410" s="885"/>
      <c r="I410" s="464"/>
      <c r="J410" s="889"/>
      <c r="K410" s="462"/>
      <c r="L410" s="462"/>
      <c r="M410" s="462"/>
      <c r="N410" s="462"/>
      <c r="O410" s="884"/>
    </row>
    <row r="411" spans="1:15" ht="31.5">
      <c r="A411" s="306" t="s">
        <v>431</v>
      </c>
      <c r="B411" s="344" t="s">
        <v>279</v>
      </c>
      <c r="C411" s="307" t="s">
        <v>1022</v>
      </c>
      <c r="D411" s="461">
        <v>0</v>
      </c>
      <c r="E411" s="461">
        <v>0</v>
      </c>
      <c r="F411" s="461">
        <v>0</v>
      </c>
      <c r="G411" s="461" t="e">
        <v>#DIV/0!</v>
      </c>
      <c r="H411" s="890"/>
      <c r="I411" s="890"/>
      <c r="J411" s="461"/>
      <c r="K411" s="461"/>
      <c r="L411" s="461"/>
      <c r="M411" s="461"/>
      <c r="N411" s="461"/>
      <c r="O411" s="884"/>
    </row>
    <row r="412" spans="1:15" ht="18.75">
      <c r="A412" s="306" t="s">
        <v>432</v>
      </c>
      <c r="B412" s="349" t="s">
        <v>1108</v>
      </c>
      <c r="C412" s="307" t="s">
        <v>1022</v>
      </c>
      <c r="D412" s="463">
        <v>0</v>
      </c>
      <c r="E412" s="463">
        <v>0</v>
      </c>
      <c r="F412" s="461">
        <v>0</v>
      </c>
      <c r="G412" s="461" t="e">
        <v>#DIV/0!</v>
      </c>
      <c r="H412" s="885"/>
      <c r="I412" s="464"/>
      <c r="J412" s="889"/>
      <c r="K412" s="462"/>
      <c r="L412" s="462"/>
      <c r="M412" s="462"/>
      <c r="N412" s="462"/>
      <c r="O412" s="884"/>
    </row>
    <row r="413" spans="1:15" ht="18.75">
      <c r="A413" s="306" t="s">
        <v>433</v>
      </c>
      <c r="B413" s="472" t="s">
        <v>159</v>
      </c>
      <c r="C413" s="307" t="s">
        <v>1022</v>
      </c>
      <c r="D413" s="463">
        <v>0</v>
      </c>
      <c r="E413" s="463">
        <v>0</v>
      </c>
      <c r="F413" s="461">
        <v>0</v>
      </c>
      <c r="G413" s="461" t="e">
        <v>#DIV/0!</v>
      </c>
      <c r="H413" s="885"/>
      <c r="I413" s="464"/>
      <c r="J413" s="889"/>
      <c r="K413" s="462"/>
      <c r="L413" s="462"/>
      <c r="M413" s="462"/>
      <c r="N413" s="462"/>
      <c r="O413" s="884"/>
    </row>
    <row r="414" spans="1:15">
      <c r="A414" s="315">
        <v>37288</v>
      </c>
      <c r="B414" s="359" t="s">
        <v>434</v>
      </c>
      <c r="C414" s="317" t="s">
        <v>1022</v>
      </c>
      <c r="D414" s="478">
        <v>0</v>
      </c>
      <c r="E414" s="896">
        <v>0</v>
      </c>
      <c r="F414" s="477">
        <v>0</v>
      </c>
      <c r="G414" s="476" t="e">
        <v>#DIV/0!</v>
      </c>
      <c r="H414" s="896"/>
      <c r="I414" s="896"/>
      <c r="J414" s="898"/>
      <c r="K414" s="898"/>
      <c r="L414" s="898"/>
      <c r="M414" s="898"/>
      <c r="N414" s="898"/>
      <c r="O414" s="899"/>
    </row>
    <row r="415" spans="1:15">
      <c r="A415" s="315">
        <v>37653</v>
      </c>
      <c r="B415" s="359" t="s">
        <v>435</v>
      </c>
      <c r="C415" s="900" t="s">
        <v>1022</v>
      </c>
      <c r="D415" s="479">
        <v>0</v>
      </c>
      <c r="E415" s="901">
        <v>0</v>
      </c>
      <c r="F415" s="477">
        <v>0</v>
      </c>
      <c r="G415" s="476" t="e">
        <v>#DIV/0!</v>
      </c>
      <c r="H415" s="901"/>
      <c r="I415" s="901"/>
      <c r="J415" s="479"/>
      <c r="K415" s="479"/>
      <c r="L415" s="479"/>
      <c r="M415" s="479"/>
      <c r="N415" s="479"/>
      <c r="O415" s="899"/>
    </row>
    <row r="416" spans="1:15" ht="18.75">
      <c r="A416" s="306" t="s">
        <v>436</v>
      </c>
      <c r="B416" s="344" t="s">
        <v>422</v>
      </c>
      <c r="C416" s="307" t="s">
        <v>1022</v>
      </c>
      <c r="D416" s="463">
        <v>0</v>
      </c>
      <c r="E416" s="463">
        <v>0</v>
      </c>
      <c r="F416" s="461">
        <v>0</v>
      </c>
      <c r="G416" s="461" t="e">
        <v>#DIV/0!</v>
      </c>
      <c r="H416" s="885"/>
      <c r="I416" s="464"/>
      <c r="J416" s="892"/>
      <c r="K416" s="462"/>
      <c r="L416" s="462"/>
      <c r="M416" s="462"/>
      <c r="N416" s="462"/>
      <c r="O416" s="884"/>
    </row>
    <row r="417" spans="1:15" ht="31.5">
      <c r="A417" s="306" t="s">
        <v>437</v>
      </c>
      <c r="B417" s="344" t="s">
        <v>148</v>
      </c>
      <c r="C417" s="307" t="s">
        <v>1022</v>
      </c>
      <c r="D417" s="463">
        <v>0</v>
      </c>
      <c r="E417" s="463">
        <v>0</v>
      </c>
      <c r="F417" s="461">
        <v>0</v>
      </c>
      <c r="G417" s="461" t="e">
        <v>#DIV/0!</v>
      </c>
      <c r="H417" s="885"/>
      <c r="I417" s="464"/>
      <c r="J417" s="892"/>
      <c r="K417" s="462"/>
      <c r="L417" s="462"/>
      <c r="M417" s="462"/>
      <c r="N417" s="462"/>
      <c r="O417" s="884"/>
    </row>
    <row r="418" spans="1:15" ht="31.5">
      <c r="A418" s="306" t="s">
        <v>651</v>
      </c>
      <c r="B418" s="344" t="s">
        <v>149</v>
      </c>
      <c r="C418" s="307" t="s">
        <v>1022</v>
      </c>
      <c r="D418" s="463">
        <v>0</v>
      </c>
      <c r="E418" s="463">
        <v>0</v>
      </c>
      <c r="F418" s="461">
        <v>0</v>
      </c>
      <c r="G418" s="461" t="e">
        <v>#DIV/0!</v>
      </c>
      <c r="H418" s="885"/>
      <c r="I418" s="464"/>
      <c r="J418" s="892"/>
      <c r="K418" s="462"/>
      <c r="L418" s="462"/>
      <c r="M418" s="462"/>
      <c r="N418" s="462"/>
      <c r="O418" s="884"/>
    </row>
    <row r="419" spans="1:15" ht="31.5">
      <c r="A419" s="306" t="s">
        <v>438</v>
      </c>
      <c r="B419" s="344" t="s">
        <v>150</v>
      </c>
      <c r="C419" s="307" t="s">
        <v>1022</v>
      </c>
      <c r="D419" s="463">
        <v>0</v>
      </c>
      <c r="E419" s="463">
        <v>0</v>
      </c>
      <c r="F419" s="461">
        <v>0</v>
      </c>
      <c r="G419" s="461" t="e">
        <v>#DIV/0!</v>
      </c>
      <c r="H419" s="885"/>
      <c r="I419" s="464"/>
      <c r="J419" s="892"/>
      <c r="K419" s="462"/>
      <c r="L419" s="462"/>
      <c r="M419" s="462"/>
      <c r="N419" s="462"/>
      <c r="O419" s="884"/>
    </row>
    <row r="420" spans="1:15" ht="18.75">
      <c r="A420" s="306" t="s">
        <v>440</v>
      </c>
      <c r="B420" s="344" t="s">
        <v>267</v>
      </c>
      <c r="C420" s="307" t="s">
        <v>1022</v>
      </c>
      <c r="D420" s="463">
        <v>0</v>
      </c>
      <c r="E420" s="463">
        <v>0</v>
      </c>
      <c r="F420" s="461">
        <v>0</v>
      </c>
      <c r="G420" s="461" t="e">
        <v>#DIV/0!</v>
      </c>
      <c r="H420" s="885"/>
      <c r="I420" s="464"/>
      <c r="J420" s="892"/>
      <c r="K420" s="462"/>
      <c r="L420" s="462"/>
      <c r="M420" s="462"/>
      <c r="N420" s="462"/>
      <c r="O420" s="884"/>
    </row>
    <row r="421" spans="1:15">
      <c r="A421" s="315" t="s">
        <v>441</v>
      </c>
      <c r="B421" s="475" t="s">
        <v>269</v>
      </c>
      <c r="C421" s="317" t="s">
        <v>1022</v>
      </c>
      <c r="D421" s="478">
        <v>0</v>
      </c>
      <c r="E421" s="480">
        <v>0</v>
      </c>
      <c r="F421" s="478">
        <v>0</v>
      </c>
      <c r="G421" s="480" t="e">
        <v>#DIV/0!</v>
      </c>
      <c r="H421" s="480"/>
      <c r="I421" s="480"/>
      <c r="J421" s="480"/>
      <c r="K421" s="480"/>
      <c r="L421" s="480"/>
      <c r="M421" s="480"/>
      <c r="N421" s="480"/>
      <c r="O421" s="899"/>
    </row>
    <row r="422" spans="1:15" ht="18.75">
      <c r="A422" s="306" t="s">
        <v>442</v>
      </c>
      <c r="B422" s="344" t="s">
        <v>271</v>
      </c>
      <c r="C422" s="307" t="s">
        <v>1022</v>
      </c>
      <c r="D422" s="463">
        <v>0</v>
      </c>
      <c r="E422" s="463">
        <v>0</v>
      </c>
      <c r="F422" s="461">
        <v>0</v>
      </c>
      <c r="G422" s="461" t="e">
        <v>#DIV/0!</v>
      </c>
      <c r="H422" s="885"/>
      <c r="I422" s="464"/>
      <c r="J422" s="892"/>
      <c r="K422" s="462"/>
      <c r="L422" s="462"/>
      <c r="M422" s="462"/>
      <c r="N422" s="462"/>
      <c r="O422" s="884"/>
    </row>
    <row r="423" spans="1:15" ht="18.75">
      <c r="A423" s="306" t="s">
        <v>443</v>
      </c>
      <c r="B423" s="344" t="s">
        <v>275</v>
      </c>
      <c r="C423" s="307" t="s">
        <v>1022</v>
      </c>
      <c r="D423" s="463">
        <v>0</v>
      </c>
      <c r="E423" s="463">
        <v>0</v>
      </c>
      <c r="F423" s="461">
        <v>0</v>
      </c>
      <c r="G423" s="461" t="e">
        <v>#DIV/0!</v>
      </c>
      <c r="H423" s="885"/>
      <c r="I423" s="464"/>
      <c r="J423" s="892"/>
      <c r="K423" s="462"/>
      <c r="L423" s="462"/>
      <c r="M423" s="462"/>
      <c r="N423" s="462"/>
      <c r="O423" s="884"/>
    </row>
    <row r="424" spans="1:15" ht="18.75">
      <c r="A424" s="306" t="s">
        <v>444</v>
      </c>
      <c r="B424" s="344" t="s">
        <v>277</v>
      </c>
      <c r="C424" s="307" t="s">
        <v>1022</v>
      </c>
      <c r="D424" s="463">
        <v>0</v>
      </c>
      <c r="E424" s="463">
        <v>0</v>
      </c>
      <c r="F424" s="461">
        <v>0</v>
      </c>
      <c r="G424" s="461" t="e">
        <v>#DIV/0!</v>
      </c>
      <c r="H424" s="885"/>
      <c r="I424" s="464"/>
      <c r="J424" s="892"/>
      <c r="K424" s="462"/>
      <c r="L424" s="462"/>
      <c r="M424" s="462"/>
      <c r="N424" s="462"/>
      <c r="O424" s="884"/>
    </row>
    <row r="425" spans="1:15" ht="31.5">
      <c r="A425" s="306" t="s">
        <v>445</v>
      </c>
      <c r="B425" s="344" t="s">
        <v>279</v>
      </c>
      <c r="C425" s="307" t="s">
        <v>1022</v>
      </c>
      <c r="D425" s="461">
        <v>0</v>
      </c>
      <c r="E425" s="461">
        <v>0</v>
      </c>
      <c r="F425" s="461">
        <v>0</v>
      </c>
      <c r="G425" s="461" t="e">
        <v>#DIV/0!</v>
      </c>
      <c r="H425" s="890"/>
      <c r="I425" s="890"/>
      <c r="J425" s="890"/>
      <c r="K425" s="890"/>
      <c r="L425" s="890"/>
      <c r="M425" s="890"/>
      <c r="N425" s="890"/>
      <c r="O425" s="884"/>
    </row>
    <row r="426" spans="1:15" ht="18.75">
      <c r="A426" s="306" t="s">
        <v>446</v>
      </c>
      <c r="B426" s="472" t="s">
        <v>1108</v>
      </c>
      <c r="C426" s="307" t="s">
        <v>1022</v>
      </c>
      <c r="D426" s="463">
        <v>0</v>
      </c>
      <c r="E426" s="463">
        <v>0</v>
      </c>
      <c r="F426" s="461">
        <v>0</v>
      </c>
      <c r="G426" s="461" t="e">
        <v>#DIV/0!</v>
      </c>
      <c r="H426" s="885"/>
      <c r="I426" s="464"/>
      <c r="J426" s="892"/>
      <c r="K426" s="462"/>
      <c r="L426" s="462"/>
      <c r="M426" s="462"/>
      <c r="N426" s="462"/>
      <c r="O426" s="884"/>
    </row>
    <row r="427" spans="1:15" ht="18.75">
      <c r="A427" s="306" t="s">
        <v>447</v>
      </c>
      <c r="B427" s="472" t="s">
        <v>159</v>
      </c>
      <c r="C427" s="307" t="s">
        <v>1022</v>
      </c>
      <c r="D427" s="463">
        <v>0</v>
      </c>
      <c r="E427" s="463">
        <v>0</v>
      </c>
      <c r="F427" s="461">
        <v>0</v>
      </c>
      <c r="G427" s="461" t="e">
        <v>#DIV/0!</v>
      </c>
      <c r="H427" s="885"/>
      <c r="I427" s="464"/>
      <c r="J427" s="892"/>
      <c r="K427" s="462"/>
      <c r="L427" s="462"/>
      <c r="M427" s="462"/>
      <c r="N427" s="462"/>
      <c r="O427" s="884"/>
    </row>
    <row r="428" spans="1:15">
      <c r="A428" s="315">
        <v>43525</v>
      </c>
      <c r="B428" s="401" t="s">
        <v>1137</v>
      </c>
      <c r="C428" s="317" t="s">
        <v>1022</v>
      </c>
      <c r="D428" s="902">
        <v>4.1529999999999996</v>
      </c>
      <c r="E428" s="902">
        <v>2.8730000000000002</v>
      </c>
      <c r="F428" s="902">
        <v>-1.28</v>
      </c>
      <c r="G428" s="479">
        <v>-30.812999999999999</v>
      </c>
      <c r="H428" s="479"/>
      <c r="I428" s="479"/>
      <c r="J428" s="479"/>
      <c r="K428" s="479"/>
      <c r="L428" s="479"/>
      <c r="M428" s="479"/>
      <c r="N428" s="479"/>
      <c r="O428" s="887"/>
    </row>
    <row r="429" spans="1:15">
      <c r="A429" s="306">
        <v>43556</v>
      </c>
      <c r="B429" s="374" t="s">
        <v>449</v>
      </c>
      <c r="C429" s="307" t="s">
        <v>1022</v>
      </c>
      <c r="D429" s="461">
        <v>0</v>
      </c>
      <c r="E429" s="461">
        <v>0</v>
      </c>
      <c r="F429" s="461">
        <v>0</v>
      </c>
      <c r="G429" s="461" t="e">
        <v>#DIV/0!</v>
      </c>
      <c r="H429" s="890"/>
      <c r="I429" s="890"/>
      <c r="J429" s="890"/>
      <c r="K429" s="890"/>
      <c r="L429" s="890"/>
      <c r="M429" s="890"/>
      <c r="N429" s="890"/>
      <c r="O429" s="884"/>
    </row>
    <row r="430" spans="1:15" ht="18.75">
      <c r="A430" s="306">
        <v>36982</v>
      </c>
      <c r="B430" s="326" t="s">
        <v>450</v>
      </c>
      <c r="C430" s="307" t="s">
        <v>1022</v>
      </c>
      <c r="D430" s="463">
        <v>0</v>
      </c>
      <c r="E430" s="463">
        <v>0</v>
      </c>
      <c r="F430" s="461">
        <v>0</v>
      </c>
      <c r="G430" s="461" t="e">
        <v>#DIV/0!</v>
      </c>
      <c r="H430" s="885"/>
      <c r="I430" s="464"/>
      <c r="J430" s="892"/>
      <c r="K430" s="462"/>
      <c r="L430" s="462"/>
      <c r="M430" s="462"/>
      <c r="N430" s="462"/>
      <c r="O430" s="884"/>
    </row>
    <row r="431" spans="1:15" ht="19.5" thickBot="1">
      <c r="A431" s="306">
        <v>37347</v>
      </c>
      <c r="B431" s="326" t="s">
        <v>451</v>
      </c>
      <c r="C431" s="307" t="s">
        <v>1022</v>
      </c>
      <c r="D431" s="463">
        <v>0</v>
      </c>
      <c r="E431" s="463">
        <v>0</v>
      </c>
      <c r="F431" s="461">
        <v>0</v>
      </c>
      <c r="G431" s="461" t="e">
        <v>#DIV/0!</v>
      </c>
      <c r="H431" s="885"/>
      <c r="I431" s="464"/>
      <c r="J431" s="892"/>
      <c r="K431" s="462"/>
      <c r="L431" s="462"/>
      <c r="M431" s="462"/>
      <c r="N431" s="462"/>
      <c r="O431" s="884"/>
    </row>
    <row r="432" spans="1:15" ht="16.5" thickBot="1">
      <c r="A432" s="454" t="s">
        <v>161</v>
      </c>
      <c r="B432" s="455" t="s">
        <v>452</v>
      </c>
      <c r="C432" s="456" t="s">
        <v>1022</v>
      </c>
      <c r="D432" s="457">
        <v>7.5609999999999999</v>
      </c>
      <c r="E432" s="457">
        <v>7.5609999999999999</v>
      </c>
      <c r="F432" s="457">
        <v>0</v>
      </c>
      <c r="G432" s="457">
        <v>0</v>
      </c>
      <c r="H432" s="457"/>
      <c r="I432" s="457"/>
      <c r="J432" s="457"/>
      <c r="K432" s="457"/>
      <c r="L432" s="457"/>
      <c r="M432" s="457"/>
      <c r="N432" s="457"/>
      <c r="O432" s="457"/>
    </row>
    <row r="433" spans="1:15" ht="18.75">
      <c r="A433" s="306">
        <v>43467</v>
      </c>
      <c r="B433" s="374" t="s">
        <v>453</v>
      </c>
      <c r="C433" s="307" t="s">
        <v>1022</v>
      </c>
      <c r="D433" s="463">
        <v>0</v>
      </c>
      <c r="E433" s="463">
        <v>0</v>
      </c>
      <c r="F433" s="461">
        <v>0</v>
      </c>
      <c r="G433" s="461" t="e">
        <v>#DIV/0!</v>
      </c>
      <c r="H433" s="885"/>
      <c r="I433" s="464"/>
      <c r="J433" s="481"/>
      <c r="K433" s="462"/>
      <c r="L433" s="462"/>
      <c r="M433" s="462"/>
      <c r="N433" s="462"/>
      <c r="O433" s="884"/>
    </row>
    <row r="434" spans="1:15" ht="18.75">
      <c r="A434" s="306">
        <v>43498</v>
      </c>
      <c r="B434" s="374" t="s">
        <v>454</v>
      </c>
      <c r="C434" s="307" t="s">
        <v>1022</v>
      </c>
      <c r="D434" s="463">
        <v>0</v>
      </c>
      <c r="E434" s="463">
        <v>0</v>
      </c>
      <c r="F434" s="461">
        <v>0</v>
      </c>
      <c r="G434" s="461" t="e">
        <v>#DIV/0!</v>
      </c>
      <c r="H434" s="885"/>
      <c r="I434" s="464"/>
      <c r="J434" s="481"/>
      <c r="K434" s="462"/>
      <c r="L434" s="462"/>
      <c r="M434" s="462"/>
      <c r="N434" s="462"/>
      <c r="O434" s="884"/>
    </row>
    <row r="435" spans="1:15" ht="18.75">
      <c r="A435" s="306">
        <v>43526</v>
      </c>
      <c r="B435" s="374" t="s">
        <v>455</v>
      </c>
      <c r="C435" s="307" t="s">
        <v>1022</v>
      </c>
      <c r="D435" s="463">
        <v>0</v>
      </c>
      <c r="E435" s="463">
        <v>0</v>
      </c>
      <c r="F435" s="461">
        <v>0</v>
      </c>
      <c r="G435" s="461" t="e">
        <v>#DIV/0!</v>
      </c>
      <c r="H435" s="885"/>
      <c r="I435" s="464"/>
      <c r="J435" s="481"/>
      <c r="K435" s="462"/>
      <c r="L435" s="462"/>
      <c r="M435" s="462"/>
      <c r="N435" s="462"/>
      <c r="O435" s="884"/>
    </row>
    <row r="436" spans="1:15" ht="18.75">
      <c r="A436" s="306">
        <v>43557</v>
      </c>
      <c r="B436" s="374" t="s">
        <v>456</v>
      </c>
      <c r="C436" s="307" t="s">
        <v>1022</v>
      </c>
      <c r="D436" s="463">
        <v>0</v>
      </c>
      <c r="E436" s="463">
        <v>0</v>
      </c>
      <c r="F436" s="461">
        <v>0</v>
      </c>
      <c r="G436" s="461" t="e">
        <v>#DIV/0!</v>
      </c>
      <c r="H436" s="885"/>
      <c r="I436" s="464"/>
      <c r="J436" s="481"/>
      <c r="K436" s="462"/>
      <c r="L436" s="462"/>
      <c r="M436" s="462"/>
      <c r="N436" s="462"/>
      <c r="O436" s="884"/>
    </row>
    <row r="437" spans="1:15">
      <c r="A437" s="306">
        <v>43587</v>
      </c>
      <c r="B437" s="374" t="s">
        <v>457</v>
      </c>
      <c r="C437" s="307" t="s">
        <v>1022</v>
      </c>
      <c r="D437" s="461">
        <v>0</v>
      </c>
      <c r="E437" s="461">
        <v>0</v>
      </c>
      <c r="F437" s="461">
        <v>0</v>
      </c>
      <c r="G437" s="461" t="e">
        <v>#DIV/0!</v>
      </c>
      <c r="H437" s="890"/>
      <c r="I437" s="890"/>
      <c r="J437" s="890"/>
      <c r="K437" s="890"/>
      <c r="L437" s="890"/>
      <c r="M437" s="890"/>
      <c r="N437" s="890"/>
      <c r="O437" s="903"/>
    </row>
    <row r="438" spans="1:15">
      <c r="A438" s="306">
        <v>37013</v>
      </c>
      <c r="B438" s="326" t="s">
        <v>458</v>
      </c>
      <c r="C438" s="307" t="s">
        <v>1022</v>
      </c>
      <c r="D438" s="461">
        <v>0</v>
      </c>
      <c r="E438" s="461">
        <v>0</v>
      </c>
      <c r="F438" s="461">
        <v>0</v>
      </c>
      <c r="G438" s="461" t="e">
        <v>#DIV/0!</v>
      </c>
      <c r="H438" s="890"/>
      <c r="I438" s="890"/>
      <c r="J438" s="890"/>
      <c r="K438" s="890"/>
      <c r="L438" s="890"/>
      <c r="M438" s="890"/>
      <c r="N438" s="890"/>
      <c r="O438" s="903"/>
    </row>
    <row r="439" spans="1:15" ht="31.5">
      <c r="A439" s="306" t="s">
        <v>459</v>
      </c>
      <c r="B439" s="344" t="s">
        <v>460</v>
      </c>
      <c r="C439" s="307" t="s">
        <v>1022</v>
      </c>
      <c r="D439" s="463">
        <v>0</v>
      </c>
      <c r="E439" s="463">
        <v>0</v>
      </c>
      <c r="F439" s="461">
        <v>0</v>
      </c>
      <c r="G439" s="461" t="e">
        <v>#DIV/0!</v>
      </c>
      <c r="H439" s="885"/>
      <c r="I439" s="464"/>
      <c r="J439" s="465"/>
      <c r="K439" s="462"/>
      <c r="L439" s="462"/>
      <c r="M439" s="462"/>
      <c r="N439" s="462"/>
      <c r="O439" s="884"/>
    </row>
    <row r="440" spans="1:15">
      <c r="A440" s="306">
        <v>37378</v>
      </c>
      <c r="B440" s="326" t="s">
        <v>461</v>
      </c>
      <c r="C440" s="307" t="s">
        <v>1022</v>
      </c>
      <c r="D440" s="461">
        <v>0</v>
      </c>
      <c r="E440" s="461">
        <v>0</v>
      </c>
      <c r="F440" s="461">
        <v>0</v>
      </c>
      <c r="G440" s="461" t="e">
        <v>#DIV/0!</v>
      </c>
      <c r="H440" s="890"/>
      <c r="I440" s="890"/>
      <c r="J440" s="890"/>
      <c r="K440" s="890"/>
      <c r="L440" s="890"/>
      <c r="M440" s="890"/>
      <c r="N440" s="890"/>
      <c r="O440" s="903"/>
    </row>
    <row r="441" spans="1:15" ht="31.5">
      <c r="A441" s="306" t="s">
        <v>462</v>
      </c>
      <c r="B441" s="344" t="s">
        <v>463</v>
      </c>
      <c r="C441" s="307" t="s">
        <v>1022</v>
      </c>
      <c r="D441" s="463">
        <v>0</v>
      </c>
      <c r="E441" s="463">
        <v>0</v>
      </c>
      <c r="F441" s="461">
        <v>0</v>
      </c>
      <c r="G441" s="461" t="e">
        <v>#DIV/0!</v>
      </c>
      <c r="H441" s="885"/>
      <c r="I441" s="464"/>
      <c r="J441" s="465"/>
      <c r="K441" s="462"/>
      <c r="L441" s="462"/>
      <c r="M441" s="462"/>
      <c r="N441" s="462"/>
      <c r="O441" s="884"/>
    </row>
    <row r="442" spans="1:15">
      <c r="A442" s="315">
        <v>43618</v>
      </c>
      <c r="B442" s="401" t="s">
        <v>464</v>
      </c>
      <c r="C442" s="317" t="s">
        <v>1022</v>
      </c>
      <c r="D442" s="482">
        <v>7.5609999999999999</v>
      </c>
      <c r="E442" s="482">
        <v>7.5609999999999999</v>
      </c>
      <c r="F442" s="482">
        <v>0</v>
      </c>
      <c r="G442" s="483">
        <v>0</v>
      </c>
      <c r="H442" s="896"/>
      <c r="I442" s="896"/>
      <c r="J442" s="480"/>
      <c r="K442" s="480"/>
      <c r="L442" s="480"/>
      <c r="M442" s="480"/>
      <c r="N442" s="480"/>
      <c r="O442" s="887"/>
    </row>
    <row r="443" spans="1:15" ht="19.5" thickBot="1">
      <c r="A443" s="821">
        <v>43648</v>
      </c>
      <c r="B443" s="904" t="s">
        <v>1178</v>
      </c>
      <c r="C443" s="823" t="s">
        <v>1022</v>
      </c>
      <c r="D443" s="905">
        <v>0</v>
      </c>
      <c r="E443" s="905">
        <v>0</v>
      </c>
      <c r="F443" s="461">
        <v>0</v>
      </c>
      <c r="G443" s="461" t="e">
        <v>#DIV/0!</v>
      </c>
      <c r="H443" s="906"/>
      <c r="I443" s="464"/>
      <c r="J443" s="484"/>
      <c r="K443" s="907"/>
      <c r="L443" s="907"/>
      <c r="M443" s="907"/>
      <c r="N443" s="907"/>
      <c r="O443" s="887"/>
    </row>
    <row r="444" spans="1:15" ht="16.5" thickBot="1">
      <c r="A444" s="454" t="s">
        <v>202</v>
      </c>
      <c r="B444" s="455" t="s">
        <v>198</v>
      </c>
      <c r="C444" s="456" t="s">
        <v>256</v>
      </c>
      <c r="D444" s="457">
        <v>0</v>
      </c>
      <c r="E444" s="457">
        <v>0</v>
      </c>
      <c r="F444" s="457">
        <v>0</v>
      </c>
      <c r="G444" s="457" t="e">
        <v>#DIV/0!</v>
      </c>
      <c r="H444" s="457"/>
      <c r="I444" s="457"/>
      <c r="J444" s="457"/>
      <c r="K444" s="457"/>
      <c r="L444" s="457"/>
      <c r="M444" s="457"/>
      <c r="N444" s="457"/>
      <c r="O444" s="457"/>
    </row>
    <row r="445" spans="1:15" ht="47.25">
      <c r="A445" s="485" t="s">
        <v>653</v>
      </c>
      <c r="B445" s="374" t="s">
        <v>1138</v>
      </c>
      <c r="C445" s="823" t="s">
        <v>1022</v>
      </c>
      <c r="D445" s="461">
        <v>0</v>
      </c>
      <c r="E445" s="461">
        <v>0</v>
      </c>
      <c r="F445" s="461">
        <v>0</v>
      </c>
      <c r="G445" s="461" t="e">
        <v>#DIV/0!</v>
      </c>
      <c r="H445" s="461"/>
      <c r="I445" s="461"/>
      <c r="J445" s="461"/>
      <c r="K445" s="461"/>
      <c r="L445" s="461"/>
      <c r="M445" s="461"/>
      <c r="N445" s="461"/>
      <c r="O445" s="883"/>
    </row>
    <row r="446" spans="1:15">
      <c r="A446" s="485">
        <v>36894</v>
      </c>
      <c r="B446" s="326" t="s">
        <v>467</v>
      </c>
      <c r="C446" s="823" t="s">
        <v>1022</v>
      </c>
      <c r="D446" s="486">
        <v>0</v>
      </c>
      <c r="E446" s="486">
        <v>0</v>
      </c>
      <c r="F446" s="461">
        <v>0</v>
      </c>
      <c r="G446" s="461" t="e">
        <v>#DIV/0!</v>
      </c>
      <c r="H446" s="906"/>
      <c r="I446" s="464"/>
      <c r="J446" s="487"/>
      <c r="K446" s="486"/>
      <c r="L446" s="486"/>
      <c r="M446" s="486"/>
      <c r="N446" s="486"/>
      <c r="O446" s="908"/>
    </row>
    <row r="447" spans="1:15" ht="31.5">
      <c r="A447" s="485">
        <v>37259</v>
      </c>
      <c r="B447" s="326" t="s">
        <v>468</v>
      </c>
      <c r="C447" s="823" t="s">
        <v>1022</v>
      </c>
      <c r="D447" s="486">
        <v>0</v>
      </c>
      <c r="E447" s="486">
        <v>0</v>
      </c>
      <c r="F447" s="461">
        <v>0</v>
      </c>
      <c r="G447" s="461" t="e">
        <v>#DIV/0!</v>
      </c>
      <c r="H447" s="906"/>
      <c r="I447" s="464"/>
      <c r="J447" s="487"/>
      <c r="K447" s="486"/>
      <c r="L447" s="486"/>
      <c r="M447" s="486"/>
      <c r="N447" s="486"/>
      <c r="O447" s="908"/>
    </row>
    <row r="448" spans="1:15">
      <c r="A448" s="485">
        <v>37624</v>
      </c>
      <c r="B448" s="326" t="s">
        <v>469</v>
      </c>
      <c r="C448" s="823" t="s">
        <v>1022</v>
      </c>
      <c r="D448" s="486">
        <v>0</v>
      </c>
      <c r="E448" s="486">
        <v>0</v>
      </c>
      <c r="F448" s="461">
        <v>0</v>
      </c>
      <c r="G448" s="461" t="e">
        <v>#DIV/0!</v>
      </c>
      <c r="H448" s="906"/>
      <c r="I448" s="464"/>
      <c r="J448" s="487"/>
      <c r="K448" s="486"/>
      <c r="L448" s="486"/>
      <c r="M448" s="486"/>
      <c r="N448" s="486"/>
      <c r="O448" s="908"/>
    </row>
    <row r="449" spans="1:15" ht="33" customHeight="1">
      <c r="A449" s="485">
        <v>43499</v>
      </c>
      <c r="B449" s="374" t="s">
        <v>470</v>
      </c>
      <c r="C449" s="488" t="s">
        <v>256</v>
      </c>
      <c r="D449" s="461">
        <v>0</v>
      </c>
      <c r="E449" s="461">
        <v>0</v>
      </c>
      <c r="F449" s="461">
        <v>0</v>
      </c>
      <c r="G449" s="461" t="e">
        <v>#DIV/0!</v>
      </c>
      <c r="H449" s="890"/>
      <c r="I449" s="890"/>
      <c r="J449" s="890"/>
      <c r="K449" s="890"/>
      <c r="L449" s="890"/>
      <c r="M449" s="890"/>
      <c r="N449" s="890"/>
      <c r="O449" s="883"/>
    </row>
    <row r="450" spans="1:15">
      <c r="A450" s="485">
        <v>36925</v>
      </c>
      <c r="B450" s="326" t="s">
        <v>471</v>
      </c>
      <c r="C450" s="823" t="s">
        <v>1022</v>
      </c>
      <c r="D450" s="486">
        <v>0</v>
      </c>
      <c r="E450" s="486">
        <v>0</v>
      </c>
      <c r="F450" s="461">
        <v>0</v>
      </c>
      <c r="G450" s="461" t="e">
        <v>#DIV/0!</v>
      </c>
      <c r="H450" s="906"/>
      <c r="I450" s="464"/>
      <c r="J450" s="487"/>
      <c r="K450" s="486"/>
      <c r="L450" s="486"/>
      <c r="M450" s="486"/>
      <c r="N450" s="486"/>
      <c r="O450" s="908"/>
    </row>
    <row r="451" spans="1:15">
      <c r="A451" s="485">
        <v>37290</v>
      </c>
      <c r="B451" s="326" t="s">
        <v>472</v>
      </c>
      <c r="C451" s="823" t="s">
        <v>1022</v>
      </c>
      <c r="D451" s="486">
        <v>0</v>
      </c>
      <c r="E451" s="486">
        <v>0</v>
      </c>
      <c r="F451" s="461">
        <v>0</v>
      </c>
      <c r="G451" s="461" t="e">
        <v>#DIV/0!</v>
      </c>
      <c r="H451" s="906"/>
      <c r="I451" s="464"/>
      <c r="J451" s="487"/>
      <c r="K451" s="486"/>
      <c r="L451" s="486"/>
      <c r="M451" s="486"/>
      <c r="N451" s="486"/>
      <c r="O451" s="908"/>
    </row>
    <row r="452" spans="1:15" ht="16.5" thickBot="1">
      <c r="A452" s="489">
        <v>37655</v>
      </c>
      <c r="B452" s="490" t="s">
        <v>473</v>
      </c>
      <c r="C452" s="369" t="s">
        <v>1022</v>
      </c>
      <c r="D452" s="491">
        <v>0</v>
      </c>
      <c r="E452" s="491">
        <v>0</v>
      </c>
      <c r="F452" s="909">
        <v>0</v>
      </c>
      <c r="G452" s="909" t="e">
        <v>#DIV/0!</v>
      </c>
      <c r="H452" s="492"/>
      <c r="I452" s="492"/>
      <c r="J452" s="493"/>
      <c r="K452" s="491"/>
      <c r="L452" s="491"/>
      <c r="M452" s="491"/>
      <c r="N452" s="491"/>
      <c r="O452" s="910"/>
    </row>
    <row r="455" spans="1:15">
      <c r="A455" s="498" t="s">
        <v>474</v>
      </c>
    </row>
    <row r="456" spans="1:15">
      <c r="A456" s="795" t="s">
        <v>1139</v>
      </c>
      <c r="B456" s="795"/>
      <c r="C456" s="795"/>
      <c r="D456" s="795"/>
      <c r="E456" s="795"/>
      <c r="F456" s="795"/>
      <c r="G456" s="795"/>
      <c r="H456" s="795"/>
      <c r="I456" s="795"/>
      <c r="J456" s="795"/>
      <c r="K456" s="795"/>
      <c r="L456" s="795"/>
      <c r="M456" s="795"/>
      <c r="N456" s="795"/>
      <c r="O456" s="795"/>
    </row>
    <row r="457" spans="1:15">
      <c r="A457" s="795" t="s">
        <v>1140</v>
      </c>
      <c r="B457" s="795"/>
      <c r="C457" s="795"/>
      <c r="D457" s="795"/>
      <c r="E457" s="795"/>
      <c r="F457" s="795"/>
      <c r="G457" s="795"/>
      <c r="H457" s="795"/>
      <c r="I457" s="795"/>
      <c r="J457" s="795"/>
      <c r="K457" s="795"/>
      <c r="L457" s="795"/>
      <c r="M457" s="795"/>
      <c r="N457" s="795"/>
      <c r="O457" s="795"/>
    </row>
    <row r="458" spans="1:15">
      <c r="A458" s="795" t="s">
        <v>1141</v>
      </c>
      <c r="B458" s="795"/>
      <c r="C458" s="795"/>
      <c r="D458" s="795"/>
      <c r="E458" s="795"/>
      <c r="F458" s="795"/>
      <c r="G458" s="795"/>
      <c r="H458" s="795"/>
      <c r="I458" s="795"/>
      <c r="J458" s="795"/>
      <c r="K458" s="795"/>
      <c r="L458" s="795"/>
      <c r="M458" s="795"/>
      <c r="N458" s="795"/>
      <c r="O458" s="795"/>
    </row>
    <row r="459" spans="1:15">
      <c r="A459" s="605" t="s">
        <v>1142</v>
      </c>
    </row>
    <row r="460" spans="1:15" ht="53.25" customHeight="1">
      <c r="A460" s="780" t="s">
        <v>1143</v>
      </c>
      <c r="B460" s="780"/>
      <c r="C460" s="780"/>
      <c r="D460" s="780"/>
      <c r="E460" s="780"/>
      <c r="F460" s="780"/>
      <c r="G460" s="780"/>
      <c r="H460" s="780"/>
      <c r="I460" s="780"/>
      <c r="J460" s="780"/>
      <c r="K460" s="780"/>
      <c r="L460" s="780"/>
      <c r="M460" s="780"/>
      <c r="N460" s="780"/>
      <c r="O460" s="780"/>
    </row>
  </sheetData>
  <mergeCells count="28">
    <mergeCell ref="A460:O460"/>
    <mergeCell ref="H19:I19"/>
    <mergeCell ref="A22:O22"/>
    <mergeCell ref="A167:O167"/>
    <mergeCell ref="A319:O319"/>
    <mergeCell ref="A369:O370"/>
    <mergeCell ref="A371:A372"/>
    <mergeCell ref="B371:B372"/>
    <mergeCell ref="C371:C372"/>
    <mergeCell ref="D371:E371"/>
    <mergeCell ref="F371:G371"/>
    <mergeCell ref="H371:I371"/>
    <mergeCell ref="A374:B374"/>
    <mergeCell ref="A456:O456"/>
    <mergeCell ref="A457:O457"/>
    <mergeCell ref="A458:O458"/>
    <mergeCell ref="A16:F16"/>
    <mergeCell ref="A19:A20"/>
    <mergeCell ref="B19:B20"/>
    <mergeCell ref="C19:C20"/>
    <mergeCell ref="D19:E19"/>
    <mergeCell ref="F19:G19"/>
    <mergeCell ref="A15:F15"/>
    <mergeCell ref="A6:F6"/>
    <mergeCell ref="A7:F7"/>
    <mergeCell ref="A9:F9"/>
    <mergeCell ref="A11:F11"/>
    <mergeCell ref="A13:F13"/>
  </mergeCells>
  <pageMargins left="0.70866141732283472" right="0.37" top="0.31" bottom="0.32" header="0.31496062992125984" footer="0.31496062992125984"/>
  <pageSetup paperSize="9" scale="66" fitToHeight="2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W31"/>
  <sheetViews>
    <sheetView workbookViewId="0">
      <selection activeCell="A22" sqref="A22:XFD23"/>
    </sheetView>
  </sheetViews>
  <sheetFormatPr defaultRowHeight="15"/>
  <cols>
    <col min="1" max="1" width="9.140625" style="9"/>
  </cols>
  <sheetData>
    <row r="1" spans="1:23" ht="15.75">
      <c r="T1" s="7" t="s">
        <v>65</v>
      </c>
    </row>
    <row r="2" spans="1:23" ht="15.75">
      <c r="T2" s="7" t="s">
        <v>23</v>
      </c>
    </row>
    <row r="3" spans="1:23" ht="15.75">
      <c r="T3" s="7" t="s">
        <v>24</v>
      </c>
    </row>
    <row r="5" spans="1:23">
      <c r="A5" s="626" t="s">
        <v>63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</row>
    <row r="6" spans="1:23">
      <c r="A6" s="626" t="s">
        <v>64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</row>
    <row r="7" spans="1:23">
      <c r="A7" s="626" t="s">
        <v>27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</row>
    <row r="8" spans="1:23">
      <c r="A8" s="626" t="s">
        <v>28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</row>
    <row r="9" spans="1:23">
      <c r="A9" s="8"/>
    </row>
    <row r="10" spans="1:23">
      <c r="A10" s="626" t="s">
        <v>29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</row>
    <row r="11" spans="1:23">
      <c r="A11" s="626" t="s">
        <v>30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</row>
    <row r="12" spans="1:23">
      <c r="A12" s="626" t="s">
        <v>31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</row>
    <row r="13" spans="1:23">
      <c r="A13" s="626" t="s">
        <v>32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</row>
    <row r="14" spans="1:23">
      <c r="A14" s="8"/>
    </row>
    <row r="15" spans="1:23">
      <c r="A15" s="626" t="s">
        <v>33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</row>
    <row r="16" spans="1:23">
      <c r="A16" s="8"/>
    </row>
    <row r="17" spans="1:23">
      <c r="A17" s="626" t="s">
        <v>34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</row>
    <row r="18" spans="1:23">
      <c r="A18" s="626" t="s">
        <v>35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</row>
    <row r="19" spans="1:23">
      <c r="A19" s="626" t="s">
        <v>36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</row>
    <row r="20" spans="1:23">
      <c r="A20" s="637" t="s">
        <v>37</v>
      </c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  <c r="W20" s="637"/>
    </row>
    <row r="21" spans="1:23" s="24" customForma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s="24" customForma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4" customForma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5.75" thickBot="1">
      <c r="A24" s="23"/>
      <c r="B24" s="23"/>
      <c r="C24" s="23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3"/>
      <c r="U24" s="23"/>
      <c r="V24" s="23"/>
      <c r="W24" s="23"/>
    </row>
    <row r="25" spans="1:23" ht="45.75" customHeight="1" thickBot="1">
      <c r="A25" s="647" t="s">
        <v>0</v>
      </c>
      <c r="B25" s="641" t="s">
        <v>1</v>
      </c>
      <c r="C25" s="641" t="s">
        <v>2</v>
      </c>
      <c r="D25" s="641" t="s">
        <v>53</v>
      </c>
      <c r="E25" s="644" t="s">
        <v>54</v>
      </c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6"/>
      <c r="S25" s="650" t="s">
        <v>55</v>
      </c>
      <c r="T25" s="651"/>
      <c r="U25" s="651"/>
      <c r="V25" s="652"/>
      <c r="W25" s="641" t="s">
        <v>10</v>
      </c>
    </row>
    <row r="26" spans="1:23" ht="15.75" thickBot="1">
      <c r="A26" s="648"/>
      <c r="B26" s="642"/>
      <c r="C26" s="642"/>
      <c r="D26" s="642"/>
      <c r="E26" s="644" t="s">
        <v>11</v>
      </c>
      <c r="F26" s="645"/>
      <c r="G26" s="645"/>
      <c r="H26" s="645"/>
      <c r="I26" s="645"/>
      <c r="J26" s="645"/>
      <c r="K26" s="646"/>
      <c r="L26" s="644" t="s">
        <v>12</v>
      </c>
      <c r="M26" s="645"/>
      <c r="N26" s="645"/>
      <c r="O26" s="645"/>
      <c r="P26" s="645"/>
      <c r="Q26" s="645"/>
      <c r="R26" s="646"/>
      <c r="S26" s="653"/>
      <c r="T26" s="654"/>
      <c r="U26" s="654"/>
      <c r="V26" s="655"/>
      <c r="W26" s="642"/>
    </row>
    <row r="27" spans="1:23" ht="21.75" thickBot="1">
      <c r="A27" s="648"/>
      <c r="B27" s="642"/>
      <c r="C27" s="642"/>
      <c r="D27" s="642"/>
      <c r="E27" s="17" t="s">
        <v>56</v>
      </c>
      <c r="F27" s="644" t="s">
        <v>57</v>
      </c>
      <c r="G27" s="645"/>
      <c r="H27" s="645"/>
      <c r="I27" s="645"/>
      <c r="J27" s="645"/>
      <c r="K27" s="646"/>
      <c r="L27" s="17" t="s">
        <v>56</v>
      </c>
      <c r="M27" s="644" t="s">
        <v>57</v>
      </c>
      <c r="N27" s="645"/>
      <c r="O27" s="645"/>
      <c r="P27" s="645"/>
      <c r="Q27" s="645"/>
      <c r="R27" s="646"/>
      <c r="S27" s="644" t="s">
        <v>56</v>
      </c>
      <c r="T27" s="646"/>
      <c r="U27" s="644" t="s">
        <v>57</v>
      </c>
      <c r="V27" s="646"/>
      <c r="W27" s="642"/>
    </row>
    <row r="28" spans="1:23" ht="21.75" thickBot="1">
      <c r="A28" s="649"/>
      <c r="B28" s="643"/>
      <c r="C28" s="643"/>
      <c r="D28" s="643"/>
      <c r="E28" s="17" t="s">
        <v>48</v>
      </c>
      <c r="F28" s="17" t="s">
        <v>48</v>
      </c>
      <c r="G28" s="17" t="s">
        <v>58</v>
      </c>
      <c r="H28" s="17" t="s">
        <v>59</v>
      </c>
      <c r="I28" s="17" t="s">
        <v>60</v>
      </c>
      <c r="J28" s="17" t="s">
        <v>61</v>
      </c>
      <c r="K28" s="17" t="s">
        <v>62</v>
      </c>
      <c r="L28" s="17" t="s">
        <v>48</v>
      </c>
      <c r="M28" s="17" t="s">
        <v>48</v>
      </c>
      <c r="N28" s="17" t="s">
        <v>58</v>
      </c>
      <c r="O28" s="17" t="s">
        <v>59</v>
      </c>
      <c r="P28" s="17" t="s">
        <v>60</v>
      </c>
      <c r="Q28" s="17" t="s">
        <v>61</v>
      </c>
      <c r="R28" s="17" t="s">
        <v>62</v>
      </c>
      <c r="S28" s="17" t="s">
        <v>48</v>
      </c>
      <c r="T28" s="17" t="s">
        <v>20</v>
      </c>
      <c r="U28" s="17" t="s">
        <v>48</v>
      </c>
      <c r="V28" s="17" t="s">
        <v>20</v>
      </c>
      <c r="W28" s="643"/>
    </row>
    <row r="29" spans="1:23" ht="15.75" thickBot="1">
      <c r="A29" s="21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8</v>
      </c>
      <c r="I29" s="17">
        <v>9</v>
      </c>
      <c r="J29" s="17">
        <v>10</v>
      </c>
      <c r="K29" s="17">
        <v>11</v>
      </c>
      <c r="L29" s="17">
        <v>12</v>
      </c>
      <c r="M29" s="17">
        <v>13</v>
      </c>
      <c r="N29" s="17">
        <v>14</v>
      </c>
      <c r="O29" s="17">
        <v>15</v>
      </c>
      <c r="P29" s="17">
        <v>16</v>
      </c>
      <c r="Q29" s="17">
        <v>17</v>
      </c>
      <c r="R29" s="17">
        <v>18</v>
      </c>
      <c r="S29" s="17">
        <v>19</v>
      </c>
      <c r="T29" s="17">
        <v>20</v>
      </c>
      <c r="U29" s="17">
        <v>21</v>
      </c>
      <c r="V29" s="17">
        <v>22</v>
      </c>
      <c r="W29" s="17">
        <v>23</v>
      </c>
    </row>
    <row r="30" spans="1:23" ht="15.75" thickBot="1">
      <c r="A30" s="2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21" customHeight="1" thickBot="1">
      <c r="A31" s="638" t="s">
        <v>21</v>
      </c>
      <c r="B31" s="639"/>
      <c r="C31" s="64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</sheetData>
  <mergeCells count="27">
    <mergeCell ref="A31:C31"/>
    <mergeCell ref="W25:W28"/>
    <mergeCell ref="E26:K26"/>
    <mergeCell ref="L26:R26"/>
    <mergeCell ref="F27:K27"/>
    <mergeCell ref="M27:R27"/>
    <mergeCell ref="S27:T27"/>
    <mergeCell ref="U27:V27"/>
    <mergeCell ref="A25:A28"/>
    <mergeCell ref="B25:B28"/>
    <mergeCell ref="C25:C28"/>
    <mergeCell ref="D25:D28"/>
    <mergeCell ref="E25:R25"/>
    <mergeCell ref="S25:V26"/>
    <mergeCell ref="A18:W18"/>
    <mergeCell ref="A19:W19"/>
    <mergeCell ref="A20:W20"/>
    <mergeCell ref="A5:W5"/>
    <mergeCell ref="A6:W6"/>
    <mergeCell ref="A7:W7"/>
    <mergeCell ref="A8:W8"/>
    <mergeCell ref="A10:W10"/>
    <mergeCell ref="A11:W11"/>
    <mergeCell ref="A12:W12"/>
    <mergeCell ref="A13:W13"/>
    <mergeCell ref="A15:W15"/>
    <mergeCell ref="A17:W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V33"/>
  <sheetViews>
    <sheetView topLeftCell="A29" workbookViewId="0">
      <selection activeCell="A22" sqref="A22:XFD23"/>
    </sheetView>
  </sheetViews>
  <sheetFormatPr defaultRowHeight="15"/>
  <cols>
    <col min="1" max="1" width="9.140625" style="9"/>
    <col min="4" max="4" width="34" customWidth="1"/>
  </cols>
  <sheetData>
    <row r="1" spans="1:22" ht="15.75">
      <c r="S1" s="7" t="s">
        <v>73</v>
      </c>
    </row>
    <row r="2" spans="1:22" ht="15.75">
      <c r="S2" s="7" t="s">
        <v>23</v>
      </c>
    </row>
    <row r="3" spans="1:22" ht="15.75">
      <c r="S3" s="7" t="s">
        <v>24</v>
      </c>
    </row>
    <row r="6" spans="1:22">
      <c r="A6" s="626" t="s">
        <v>66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</row>
    <row r="7" spans="1:22">
      <c r="A7" s="626" t="s">
        <v>67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</row>
    <row r="8" spans="1:22">
      <c r="A8" s="626" t="s">
        <v>68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</row>
    <row r="9" spans="1:22">
      <c r="A9" s="626" t="s">
        <v>28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</row>
    <row r="10" spans="1:22">
      <c r="A10" s="8"/>
    </row>
    <row r="11" spans="1:22">
      <c r="A11" s="626" t="s">
        <v>29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</row>
    <row r="12" spans="1:22">
      <c r="A12" s="626" t="s">
        <v>30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</row>
    <row r="13" spans="1:22">
      <c r="A13" s="626" t="s">
        <v>31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</row>
    <row r="14" spans="1:22">
      <c r="A14" s="626" t="s">
        <v>32</v>
      </c>
      <c r="B14" s="626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</row>
    <row r="15" spans="1:22">
      <c r="A15" s="8"/>
    </row>
    <row r="16" spans="1:22">
      <c r="A16" s="626" t="s">
        <v>33</v>
      </c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</row>
    <row r="17" spans="1:22">
      <c r="A17" s="8"/>
    </row>
    <row r="18" spans="1:22">
      <c r="A18" s="626" t="s">
        <v>34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</row>
    <row r="19" spans="1:22">
      <c r="A19" s="626" t="s">
        <v>35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</row>
    <row r="20" spans="1:22">
      <c r="A20" s="626" t="s">
        <v>36</v>
      </c>
      <c r="B20" s="626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</row>
    <row r="21" spans="1:22">
      <c r="A21" s="637" t="s">
        <v>37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</row>
    <row r="22" spans="1:22" s="24" customForma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ht="15.75" thickBot="1"/>
    <row r="24" spans="1:22" ht="57" customHeight="1" thickBot="1">
      <c r="A24" s="641" t="s">
        <v>0</v>
      </c>
      <c r="B24" s="641" t="s">
        <v>1</v>
      </c>
      <c r="C24" s="641" t="s">
        <v>2</v>
      </c>
      <c r="D24" s="656" t="s">
        <v>69</v>
      </c>
      <c r="E24" s="644" t="s">
        <v>70</v>
      </c>
      <c r="F24" s="645"/>
      <c r="G24" s="645"/>
      <c r="H24" s="645"/>
      <c r="I24" s="645"/>
      <c r="J24" s="645"/>
      <c r="K24" s="645"/>
      <c r="L24" s="645"/>
      <c r="M24" s="645"/>
      <c r="N24" s="645"/>
      <c r="O24" s="645"/>
      <c r="P24" s="646"/>
      <c r="Q24" s="650" t="s">
        <v>71</v>
      </c>
      <c r="R24" s="651"/>
      <c r="S24" s="651"/>
      <c r="T24" s="651"/>
      <c r="U24" s="652"/>
      <c r="V24" s="641" t="s">
        <v>10</v>
      </c>
    </row>
    <row r="25" spans="1:22" ht="15.75" thickBot="1">
      <c r="A25" s="642"/>
      <c r="B25" s="642"/>
      <c r="C25" s="642"/>
      <c r="D25" s="656"/>
      <c r="E25" s="644" t="s">
        <v>11</v>
      </c>
      <c r="F25" s="645"/>
      <c r="G25" s="645"/>
      <c r="H25" s="645"/>
      <c r="I25" s="645"/>
      <c r="J25" s="646"/>
      <c r="K25" s="644" t="s">
        <v>12</v>
      </c>
      <c r="L25" s="645"/>
      <c r="M25" s="645"/>
      <c r="N25" s="645"/>
      <c r="O25" s="645"/>
      <c r="P25" s="646"/>
      <c r="Q25" s="653"/>
      <c r="R25" s="654"/>
      <c r="S25" s="654"/>
      <c r="T25" s="654"/>
      <c r="U25" s="655"/>
      <c r="V25" s="642"/>
    </row>
    <row r="26" spans="1:22" ht="37.5" customHeight="1" thickBot="1">
      <c r="A26" s="643"/>
      <c r="B26" s="643"/>
      <c r="C26" s="643"/>
      <c r="D26" s="656"/>
      <c r="E26" s="17" t="s">
        <v>72</v>
      </c>
      <c r="F26" s="17" t="s">
        <v>58</v>
      </c>
      <c r="G26" s="17" t="s">
        <v>59</v>
      </c>
      <c r="H26" s="17" t="s">
        <v>60</v>
      </c>
      <c r="I26" s="17" t="s">
        <v>61</v>
      </c>
      <c r="J26" s="17" t="s">
        <v>62</v>
      </c>
      <c r="K26" s="17" t="s">
        <v>72</v>
      </c>
      <c r="L26" s="17" t="s">
        <v>58</v>
      </c>
      <c r="M26" s="17" t="s">
        <v>59</v>
      </c>
      <c r="N26" s="17" t="s">
        <v>60</v>
      </c>
      <c r="O26" s="17" t="s">
        <v>61</v>
      </c>
      <c r="P26" s="17" t="s">
        <v>62</v>
      </c>
      <c r="Q26" s="17" t="s">
        <v>58</v>
      </c>
      <c r="R26" s="17" t="s">
        <v>59</v>
      </c>
      <c r="S26" s="17" t="s">
        <v>60</v>
      </c>
      <c r="T26" s="17" t="s">
        <v>61</v>
      </c>
      <c r="U26" s="17" t="s">
        <v>62</v>
      </c>
      <c r="V26" s="643"/>
    </row>
    <row r="27" spans="1:22" ht="15.75" thickBot="1">
      <c r="A27" s="18">
        <v>1</v>
      </c>
      <c r="B27" s="17">
        <v>2</v>
      </c>
      <c r="C27" s="17">
        <v>3</v>
      </c>
      <c r="D27" s="17">
        <v>4</v>
      </c>
      <c r="E27" s="17">
        <v>5</v>
      </c>
      <c r="F27" s="17">
        <v>6</v>
      </c>
      <c r="G27" s="17">
        <v>7</v>
      </c>
      <c r="H27" s="17">
        <v>8</v>
      </c>
      <c r="I27" s="17">
        <v>9</v>
      </c>
      <c r="J27" s="17">
        <v>10</v>
      </c>
      <c r="K27" s="17">
        <v>11</v>
      </c>
      <c r="L27" s="17">
        <v>12</v>
      </c>
      <c r="M27" s="17">
        <v>13</v>
      </c>
      <c r="N27" s="17">
        <v>14</v>
      </c>
      <c r="O27" s="17">
        <v>15</v>
      </c>
      <c r="P27" s="17">
        <v>16</v>
      </c>
      <c r="Q27" s="17">
        <v>17</v>
      </c>
      <c r="R27" s="17">
        <v>18</v>
      </c>
      <c r="S27" s="17">
        <v>19</v>
      </c>
      <c r="T27" s="17">
        <v>20</v>
      </c>
      <c r="U27" s="17">
        <v>21</v>
      </c>
      <c r="V27" s="17">
        <v>22</v>
      </c>
    </row>
    <row r="28" spans="1:22" ht="15.75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21" customHeight="1" thickBot="1">
      <c r="A29" s="638" t="s">
        <v>21</v>
      </c>
      <c r="B29" s="639"/>
      <c r="C29" s="64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3" spans="1:1" ht="15.75">
      <c r="A33" s="7" t="s">
        <v>82</v>
      </c>
    </row>
  </sheetData>
  <mergeCells count="23">
    <mergeCell ref="C24:C26"/>
    <mergeCell ref="D24:D26"/>
    <mergeCell ref="E24:P24"/>
    <mergeCell ref="Q24:U25"/>
    <mergeCell ref="V24:V26"/>
    <mergeCell ref="E25:J25"/>
    <mergeCell ref="K25:P25"/>
    <mergeCell ref="A29:C29"/>
    <mergeCell ref="A7:V7"/>
    <mergeCell ref="A6:V6"/>
    <mergeCell ref="A8:V8"/>
    <mergeCell ref="A9:V9"/>
    <mergeCell ref="A16:V16"/>
    <mergeCell ref="A11:V11"/>
    <mergeCell ref="A12:V12"/>
    <mergeCell ref="A13:V13"/>
    <mergeCell ref="A14:V14"/>
    <mergeCell ref="A18:V18"/>
    <mergeCell ref="A19:V19"/>
    <mergeCell ref="A20:V20"/>
    <mergeCell ref="A21:V21"/>
    <mergeCell ref="A24:A26"/>
    <mergeCell ref="B24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A32"/>
  <sheetViews>
    <sheetView topLeftCell="A7" zoomScale="70" zoomScaleNormal="70" workbookViewId="0">
      <selection activeCell="A22" sqref="A22:XFD23"/>
    </sheetView>
  </sheetViews>
  <sheetFormatPr defaultRowHeight="15"/>
  <cols>
    <col min="1" max="1" width="9.140625" style="25"/>
    <col min="4" max="4" width="34" customWidth="1"/>
  </cols>
  <sheetData>
    <row r="1" spans="1:27" ht="15.75">
      <c r="S1" s="7" t="s">
        <v>74</v>
      </c>
    </row>
    <row r="2" spans="1:27" ht="15.75">
      <c r="S2" s="7" t="s">
        <v>23</v>
      </c>
    </row>
    <row r="3" spans="1:27" ht="15.75">
      <c r="S3" s="7" t="s">
        <v>24</v>
      </c>
    </row>
    <row r="6" spans="1:27">
      <c r="A6" s="626" t="s">
        <v>76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7">
      <c r="A7" s="626" t="s">
        <v>75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</row>
    <row r="8" spans="1:27">
      <c r="A8" s="626" t="s">
        <v>28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</row>
    <row r="9" spans="1:27">
      <c r="A9" s="16"/>
    </row>
    <row r="10" spans="1:27">
      <c r="A10" s="626" t="s">
        <v>29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</row>
    <row r="11" spans="1:27">
      <c r="A11" s="626" t="s">
        <v>30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</row>
    <row r="12" spans="1:27">
      <c r="A12" s="626" t="s">
        <v>31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</row>
    <row r="13" spans="1:27">
      <c r="A13" s="626" t="s">
        <v>32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</row>
    <row r="14" spans="1:27">
      <c r="A14" s="16"/>
    </row>
    <row r="15" spans="1:27">
      <c r="A15" s="626" t="s">
        <v>33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</row>
    <row r="16" spans="1:27">
      <c r="A16" s="16"/>
    </row>
    <row r="17" spans="1:27">
      <c r="A17" s="626" t="s">
        <v>34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</row>
    <row r="18" spans="1:27">
      <c r="A18" s="626" t="s">
        <v>35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</row>
    <row r="19" spans="1:27">
      <c r="A19" s="626" t="s">
        <v>36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</row>
    <row r="20" spans="1:27">
      <c r="A20" s="637" t="s">
        <v>37</v>
      </c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</row>
    <row r="21" spans="1:27" s="24" customFormat="1">
      <c r="A21" s="26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7" ht="15.75" thickBot="1"/>
    <row r="23" spans="1:27" ht="93" customHeight="1" thickBot="1">
      <c r="A23" s="657" t="s">
        <v>0</v>
      </c>
      <c r="B23" s="657" t="s">
        <v>1</v>
      </c>
      <c r="C23" s="657" t="s">
        <v>2</v>
      </c>
      <c r="D23" s="672" t="s">
        <v>69</v>
      </c>
      <c r="E23" s="660" t="s">
        <v>77</v>
      </c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2"/>
      <c r="T23" s="663" t="s">
        <v>71</v>
      </c>
      <c r="U23" s="664"/>
      <c r="V23" s="664"/>
      <c r="W23" s="664"/>
      <c r="X23" s="664"/>
      <c r="Y23" s="664"/>
      <c r="Z23" s="665"/>
      <c r="AA23" s="657" t="s">
        <v>10</v>
      </c>
    </row>
    <row r="24" spans="1:27" ht="16.5" thickBot="1">
      <c r="A24" s="658"/>
      <c r="B24" s="658"/>
      <c r="C24" s="658"/>
      <c r="D24" s="673"/>
      <c r="E24" s="660" t="s">
        <v>11</v>
      </c>
      <c r="F24" s="661"/>
      <c r="G24" s="661"/>
      <c r="H24" s="661"/>
      <c r="I24" s="661"/>
      <c r="J24" s="661"/>
      <c r="K24" s="662"/>
      <c r="L24" s="660" t="s">
        <v>12</v>
      </c>
      <c r="M24" s="661"/>
      <c r="N24" s="661"/>
      <c r="O24" s="661"/>
      <c r="P24" s="661"/>
      <c r="Q24" s="661"/>
      <c r="R24" s="661"/>
      <c r="S24" s="662"/>
      <c r="T24" s="666"/>
      <c r="U24" s="667"/>
      <c r="V24" s="667"/>
      <c r="W24" s="667"/>
      <c r="X24" s="667"/>
      <c r="Y24" s="667"/>
      <c r="Z24" s="668"/>
      <c r="AA24" s="658"/>
    </row>
    <row r="25" spans="1:27" ht="79.5" thickBot="1">
      <c r="A25" s="659"/>
      <c r="B25" s="659"/>
      <c r="C25" s="659"/>
      <c r="D25" s="674"/>
      <c r="E25" s="27" t="s">
        <v>58</v>
      </c>
      <c r="F25" s="27" t="s">
        <v>59</v>
      </c>
      <c r="G25" s="27" t="s">
        <v>78</v>
      </c>
      <c r="H25" s="27" t="s">
        <v>79</v>
      </c>
      <c r="I25" s="27" t="s">
        <v>80</v>
      </c>
      <c r="J25" s="27" t="s">
        <v>61</v>
      </c>
      <c r="K25" s="27" t="s">
        <v>62</v>
      </c>
      <c r="L25" s="27" t="s">
        <v>81</v>
      </c>
      <c r="M25" s="27" t="s">
        <v>58</v>
      </c>
      <c r="N25" s="27" t="s">
        <v>59</v>
      </c>
      <c r="O25" s="27" t="s">
        <v>78</v>
      </c>
      <c r="P25" s="27" t="s">
        <v>79</v>
      </c>
      <c r="Q25" s="27" t="s">
        <v>80</v>
      </c>
      <c r="R25" s="27" t="s">
        <v>61</v>
      </c>
      <c r="S25" s="27" t="s">
        <v>62</v>
      </c>
      <c r="T25" s="27" t="s">
        <v>58</v>
      </c>
      <c r="U25" s="27" t="s">
        <v>59</v>
      </c>
      <c r="V25" s="27" t="s">
        <v>78</v>
      </c>
      <c r="W25" s="27" t="s">
        <v>79</v>
      </c>
      <c r="X25" s="27" t="s">
        <v>80</v>
      </c>
      <c r="Y25" s="27" t="s">
        <v>61</v>
      </c>
      <c r="Z25" s="27" t="s">
        <v>62</v>
      </c>
      <c r="AA25" s="659"/>
    </row>
    <row r="26" spans="1:27" ht="16.5" thickBot="1">
      <c r="A26" s="28">
        <v>1</v>
      </c>
      <c r="B26" s="27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M26" s="27">
        <v>13</v>
      </c>
      <c r="N26" s="27">
        <v>14</v>
      </c>
      <c r="O26" s="27">
        <v>15</v>
      </c>
      <c r="P26" s="27">
        <v>16</v>
      </c>
      <c r="Q26" s="27">
        <v>17</v>
      </c>
      <c r="R26" s="27">
        <v>18</v>
      </c>
      <c r="S26" s="27">
        <v>19</v>
      </c>
      <c r="T26" s="27">
        <v>20</v>
      </c>
      <c r="U26" s="27">
        <v>21</v>
      </c>
      <c r="V26" s="27">
        <v>22</v>
      </c>
      <c r="W26" s="27">
        <v>23</v>
      </c>
      <c r="X26" s="27">
        <v>24</v>
      </c>
      <c r="Y26" s="27">
        <v>25</v>
      </c>
      <c r="Z26" s="27">
        <v>26</v>
      </c>
      <c r="AA26" s="27">
        <v>27</v>
      </c>
    </row>
    <row r="27" spans="1:27" ht="16.5" thickBo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47.25" customHeight="1" thickBot="1">
      <c r="A28" s="669" t="s">
        <v>21</v>
      </c>
      <c r="B28" s="670"/>
      <c r="C28" s="67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32" spans="1:27" ht="15.75">
      <c r="A32" s="7" t="s">
        <v>82</v>
      </c>
    </row>
  </sheetData>
  <mergeCells count="22">
    <mergeCell ref="A6:AA6"/>
    <mergeCell ref="A7:AA7"/>
    <mergeCell ref="A10:AA10"/>
    <mergeCell ref="A12:AA12"/>
    <mergeCell ref="A11:AA11"/>
    <mergeCell ref="A28:C28"/>
    <mergeCell ref="A23:A25"/>
    <mergeCell ref="B23:B25"/>
    <mergeCell ref="C23:C25"/>
    <mergeCell ref="D23:D25"/>
    <mergeCell ref="AA23:AA25"/>
    <mergeCell ref="E24:K24"/>
    <mergeCell ref="L24:S24"/>
    <mergeCell ref="A8:AA8"/>
    <mergeCell ref="E23:S23"/>
    <mergeCell ref="A20:V20"/>
    <mergeCell ref="A13:V13"/>
    <mergeCell ref="A15:V15"/>
    <mergeCell ref="A17:V17"/>
    <mergeCell ref="A18:V18"/>
    <mergeCell ref="A19:V19"/>
    <mergeCell ref="T23:Z24"/>
  </mergeCells>
  <hyperlinks>
    <hyperlink ref="D23" location="Par678" tooltip="&lt;*&gt;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." display="Par67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A29"/>
  <sheetViews>
    <sheetView topLeftCell="A7" zoomScale="70" zoomScaleNormal="70" workbookViewId="0">
      <selection activeCell="A22" sqref="A22:XFD23"/>
    </sheetView>
  </sheetViews>
  <sheetFormatPr defaultRowHeight="15"/>
  <cols>
    <col min="1" max="1" width="9.140625" style="9"/>
    <col min="4" max="4" width="34" customWidth="1"/>
  </cols>
  <sheetData>
    <row r="1" spans="1:27" ht="15.75">
      <c r="R1" s="7" t="s">
        <v>86</v>
      </c>
    </row>
    <row r="2" spans="1:27" ht="15.75">
      <c r="R2" s="7" t="s">
        <v>23</v>
      </c>
    </row>
    <row r="3" spans="1:27" ht="15.75">
      <c r="R3" s="7" t="s">
        <v>24</v>
      </c>
    </row>
    <row r="6" spans="1:27">
      <c r="A6" s="626" t="s">
        <v>84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7">
      <c r="A7" s="626" t="s">
        <v>85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</row>
    <row r="8" spans="1:27">
      <c r="A8" s="626" t="s">
        <v>28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</row>
    <row r="9" spans="1:27">
      <c r="A9" s="8"/>
    </row>
    <row r="10" spans="1:27">
      <c r="A10" s="626" t="s">
        <v>29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</row>
    <row r="11" spans="1:27">
      <c r="A11" s="626" t="s">
        <v>30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</row>
    <row r="12" spans="1:27">
      <c r="A12" s="626" t="s">
        <v>31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</row>
    <row r="13" spans="1:27">
      <c r="A13" s="626" t="s">
        <v>32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</row>
    <row r="14" spans="1:27">
      <c r="A14" s="8"/>
    </row>
    <row r="15" spans="1:27">
      <c r="A15" s="626" t="s">
        <v>33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</row>
    <row r="16" spans="1:27">
      <c r="A16" s="8"/>
    </row>
    <row r="17" spans="1:22">
      <c r="A17" s="626" t="s">
        <v>34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</row>
    <row r="18" spans="1:22">
      <c r="A18" s="626" t="s">
        <v>35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</row>
    <row r="19" spans="1:22">
      <c r="A19" s="626" t="s">
        <v>36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</row>
    <row r="20" spans="1:22">
      <c r="A20" s="637" t="s">
        <v>37</v>
      </c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</row>
    <row r="21" spans="1:22" s="24" customFormat="1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3" spans="1:22" ht="15.75" thickBot="1"/>
    <row r="24" spans="1:22" ht="93" customHeight="1" thickBot="1">
      <c r="A24" s="657" t="s">
        <v>0</v>
      </c>
      <c r="B24" s="657" t="s">
        <v>1</v>
      </c>
      <c r="C24" s="657" t="s">
        <v>2</v>
      </c>
      <c r="D24" s="657" t="s">
        <v>87</v>
      </c>
      <c r="E24" s="660" t="s">
        <v>88</v>
      </c>
      <c r="F24" s="661"/>
      <c r="G24" s="661"/>
      <c r="H24" s="661"/>
      <c r="I24" s="661"/>
      <c r="J24" s="661"/>
      <c r="K24" s="661"/>
      <c r="L24" s="661"/>
      <c r="M24" s="661"/>
      <c r="N24" s="661"/>
      <c r="O24" s="662"/>
      <c r="P24" s="663" t="s">
        <v>71</v>
      </c>
      <c r="Q24" s="664"/>
      <c r="R24" s="664"/>
      <c r="S24" s="664"/>
      <c r="T24" s="665"/>
      <c r="U24" s="657" t="s">
        <v>10</v>
      </c>
    </row>
    <row r="25" spans="1:22" ht="16.5" thickBot="1">
      <c r="A25" s="658"/>
      <c r="B25" s="658"/>
      <c r="C25" s="658"/>
      <c r="D25" s="658"/>
      <c r="E25" s="660" t="s">
        <v>11</v>
      </c>
      <c r="F25" s="661"/>
      <c r="G25" s="661"/>
      <c r="H25" s="661"/>
      <c r="I25" s="662"/>
      <c r="J25" s="660" t="s">
        <v>12</v>
      </c>
      <c r="K25" s="661"/>
      <c r="L25" s="661"/>
      <c r="M25" s="661"/>
      <c r="N25" s="661"/>
      <c r="O25" s="662"/>
      <c r="P25" s="666"/>
      <c r="Q25" s="667"/>
      <c r="R25" s="667"/>
      <c r="S25" s="667"/>
      <c r="T25" s="668"/>
      <c r="U25" s="658"/>
    </row>
    <row r="26" spans="1:22" ht="79.5" thickBot="1">
      <c r="A26" s="659"/>
      <c r="B26" s="659"/>
      <c r="C26" s="659"/>
      <c r="D26" s="659"/>
      <c r="E26" s="27" t="s">
        <v>58</v>
      </c>
      <c r="F26" s="27" t="s">
        <v>59</v>
      </c>
      <c r="G26" s="27" t="s">
        <v>60</v>
      </c>
      <c r="H26" s="27" t="s">
        <v>61</v>
      </c>
      <c r="I26" s="27" t="s">
        <v>62</v>
      </c>
      <c r="J26" s="27" t="s">
        <v>89</v>
      </c>
      <c r="K26" s="27" t="s">
        <v>58</v>
      </c>
      <c r="L26" s="27" t="s">
        <v>59</v>
      </c>
      <c r="M26" s="27" t="s">
        <v>60</v>
      </c>
      <c r="N26" s="27" t="s">
        <v>61</v>
      </c>
      <c r="O26" s="27" t="s">
        <v>62</v>
      </c>
      <c r="P26" s="27" t="s">
        <v>58</v>
      </c>
      <c r="Q26" s="27" t="s">
        <v>59</v>
      </c>
      <c r="R26" s="27" t="s">
        <v>60</v>
      </c>
      <c r="S26" s="27" t="s">
        <v>61</v>
      </c>
      <c r="T26" s="27" t="s">
        <v>62</v>
      </c>
      <c r="U26" s="659"/>
    </row>
    <row r="27" spans="1:22" ht="16.5" thickBot="1">
      <c r="A27" s="28">
        <v>1</v>
      </c>
      <c r="B27" s="27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M27" s="27">
        <v>13</v>
      </c>
      <c r="N27" s="27">
        <v>14</v>
      </c>
      <c r="O27" s="27">
        <v>15</v>
      </c>
      <c r="P27" s="27">
        <v>16</v>
      </c>
      <c r="Q27" s="27">
        <v>17</v>
      </c>
      <c r="R27" s="27">
        <v>18</v>
      </c>
      <c r="S27" s="27">
        <v>19</v>
      </c>
      <c r="T27" s="27">
        <v>20</v>
      </c>
      <c r="U27" s="27">
        <v>21</v>
      </c>
    </row>
    <row r="28" spans="1:22" ht="16.5" thickBo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ht="47.25" customHeight="1" thickBot="1">
      <c r="A29" s="669" t="s">
        <v>21</v>
      </c>
      <c r="B29" s="670"/>
      <c r="C29" s="67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mergeCells count="22">
    <mergeCell ref="A20:V20"/>
    <mergeCell ref="A6:AA6"/>
    <mergeCell ref="A7:AA7"/>
    <mergeCell ref="A8:AA8"/>
    <mergeCell ref="A10:AA10"/>
    <mergeCell ref="A11:AA11"/>
    <mergeCell ref="A12:AA12"/>
    <mergeCell ref="A13:V13"/>
    <mergeCell ref="A15:V15"/>
    <mergeCell ref="A17:V17"/>
    <mergeCell ref="A18:V18"/>
    <mergeCell ref="A19:V19"/>
    <mergeCell ref="U24:U26"/>
    <mergeCell ref="E25:I25"/>
    <mergeCell ref="J25:O25"/>
    <mergeCell ref="A29:C29"/>
    <mergeCell ref="A24:A26"/>
    <mergeCell ref="B24:B26"/>
    <mergeCell ref="C24:C26"/>
    <mergeCell ref="D24:D26"/>
    <mergeCell ref="E24:O24"/>
    <mergeCell ref="P24:T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S34"/>
  <sheetViews>
    <sheetView topLeftCell="A13" zoomScale="70" zoomScaleNormal="70" workbookViewId="0">
      <selection activeCell="A22" sqref="A22:XFD23"/>
    </sheetView>
  </sheetViews>
  <sheetFormatPr defaultRowHeight="15"/>
  <cols>
    <col min="1" max="1" width="9.140625" style="9"/>
    <col min="4" max="4" width="34" customWidth="1"/>
  </cols>
  <sheetData>
    <row r="1" spans="1:27" ht="15.75">
      <c r="R1" s="7" t="s">
        <v>90</v>
      </c>
    </row>
    <row r="2" spans="1:27" ht="15.75">
      <c r="R2" s="7" t="s">
        <v>23</v>
      </c>
    </row>
    <row r="3" spans="1:27" ht="15.75">
      <c r="R3" s="7" t="s">
        <v>24</v>
      </c>
    </row>
    <row r="6" spans="1:27">
      <c r="A6" s="626" t="s">
        <v>91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</row>
    <row r="7" spans="1:27">
      <c r="A7" s="626" t="s">
        <v>92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</row>
    <row r="8" spans="1:27">
      <c r="A8" s="626" t="s">
        <v>28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</row>
    <row r="9" spans="1:27">
      <c r="A9" s="8"/>
    </row>
    <row r="10" spans="1:27">
      <c r="A10" s="626" t="s">
        <v>29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</row>
    <row r="11" spans="1:27">
      <c r="A11" s="626" t="s">
        <v>30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</row>
    <row r="12" spans="1:27">
      <c r="A12" s="626" t="s">
        <v>31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</row>
    <row r="13" spans="1:27">
      <c r="A13" s="626" t="s">
        <v>32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</row>
    <row r="14" spans="1:27">
      <c r="A14" s="8"/>
    </row>
    <row r="15" spans="1:27">
      <c r="A15" s="626" t="s">
        <v>33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</row>
    <row r="16" spans="1:27">
      <c r="A16" s="8"/>
    </row>
    <row r="17" spans="1:45">
      <c r="A17" s="626" t="s">
        <v>34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</row>
    <row r="18" spans="1:45">
      <c r="A18" s="626" t="s">
        <v>35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</row>
    <row r="19" spans="1:45">
      <c r="A19" s="626" t="s">
        <v>36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</row>
    <row r="20" spans="1:45">
      <c r="A20" s="637" t="s">
        <v>37</v>
      </c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637"/>
      <c r="P20" s="637"/>
      <c r="Q20" s="637"/>
      <c r="R20" s="637"/>
      <c r="S20" s="637"/>
      <c r="T20" s="637"/>
      <c r="U20" s="637"/>
      <c r="V20" s="637"/>
    </row>
    <row r="21" spans="1:45" s="24" customFormat="1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6" spans="1:45" ht="15.75" thickBot="1"/>
    <row r="27" spans="1:45" s="30" customFormat="1" ht="19.5" thickBot="1">
      <c r="A27" s="678" t="s">
        <v>0</v>
      </c>
      <c r="B27" s="678" t="s">
        <v>1</v>
      </c>
      <c r="C27" s="678" t="s">
        <v>2</v>
      </c>
      <c r="D27" s="675" t="s">
        <v>93</v>
      </c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6"/>
      <c r="S27" s="676"/>
      <c r="T27" s="676"/>
      <c r="U27" s="676"/>
      <c r="V27" s="676"/>
      <c r="W27" s="676"/>
      <c r="X27" s="677"/>
    </row>
    <row r="28" spans="1:45" s="30" customFormat="1" ht="19.5" thickBot="1">
      <c r="A28" s="679"/>
      <c r="B28" s="679"/>
      <c r="C28" s="679"/>
      <c r="D28" s="675" t="s">
        <v>94</v>
      </c>
      <c r="E28" s="676"/>
      <c r="F28" s="677"/>
      <c r="G28" s="675" t="s">
        <v>95</v>
      </c>
      <c r="H28" s="676"/>
      <c r="I28" s="677"/>
      <c r="J28" s="675" t="s">
        <v>96</v>
      </c>
      <c r="K28" s="676"/>
      <c r="L28" s="677"/>
      <c r="M28" s="675" t="s">
        <v>97</v>
      </c>
      <c r="N28" s="676"/>
      <c r="O28" s="677"/>
      <c r="P28" s="675" t="s">
        <v>98</v>
      </c>
      <c r="Q28" s="676"/>
      <c r="R28" s="677"/>
      <c r="S28" s="675" t="s">
        <v>99</v>
      </c>
      <c r="T28" s="676"/>
      <c r="U28" s="677"/>
      <c r="V28" s="675" t="s">
        <v>100</v>
      </c>
      <c r="W28" s="676"/>
      <c r="X28" s="677"/>
    </row>
    <row r="29" spans="1:45" s="30" customFormat="1" ht="225.75" thickBot="1">
      <c r="A29" s="679"/>
      <c r="B29" s="679"/>
      <c r="C29" s="679"/>
      <c r="D29" s="31" t="s">
        <v>101</v>
      </c>
      <c r="E29" s="31" t="s">
        <v>101</v>
      </c>
      <c r="F29" s="31" t="s">
        <v>102</v>
      </c>
      <c r="G29" s="31" t="s">
        <v>101</v>
      </c>
      <c r="H29" s="31" t="s">
        <v>101</v>
      </c>
      <c r="I29" s="31" t="s">
        <v>102</v>
      </c>
      <c r="J29" s="31" t="s">
        <v>101</v>
      </c>
      <c r="K29" s="31" t="s">
        <v>101</v>
      </c>
      <c r="L29" s="31" t="s">
        <v>102</v>
      </c>
      <c r="M29" s="31" t="s">
        <v>101</v>
      </c>
      <c r="N29" s="31" t="s">
        <v>101</v>
      </c>
      <c r="O29" s="31" t="s">
        <v>102</v>
      </c>
      <c r="P29" s="31" t="s">
        <v>101</v>
      </c>
      <c r="Q29" s="31" t="s">
        <v>101</v>
      </c>
      <c r="R29" s="31" t="s">
        <v>102</v>
      </c>
      <c r="S29" s="31" t="s">
        <v>101</v>
      </c>
      <c r="T29" s="31" t="s">
        <v>101</v>
      </c>
      <c r="U29" s="31" t="s">
        <v>102</v>
      </c>
      <c r="V29" s="31" t="s">
        <v>101</v>
      </c>
      <c r="W29" s="31" t="s">
        <v>101</v>
      </c>
      <c r="X29" s="31" t="s">
        <v>102</v>
      </c>
    </row>
    <row r="30" spans="1:45" s="30" customFormat="1" ht="19.5" thickBot="1">
      <c r="A30" s="680"/>
      <c r="B30" s="680"/>
      <c r="C30" s="68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45" s="30" customFormat="1" ht="19.5" thickBot="1">
      <c r="A31" s="31" t="s">
        <v>11</v>
      </c>
      <c r="B31" s="31" t="s">
        <v>12</v>
      </c>
      <c r="C31" s="31" t="s">
        <v>11</v>
      </c>
      <c r="D31" s="31" t="s">
        <v>12</v>
      </c>
      <c r="E31" s="31" t="s">
        <v>11</v>
      </c>
      <c r="F31" s="31" t="s">
        <v>12</v>
      </c>
      <c r="G31" s="31" t="s">
        <v>11</v>
      </c>
      <c r="H31" s="31" t="s">
        <v>12</v>
      </c>
      <c r="I31" s="31" t="s">
        <v>11</v>
      </c>
      <c r="J31" s="31" t="s">
        <v>12</v>
      </c>
      <c r="K31" s="31" t="s">
        <v>11</v>
      </c>
      <c r="L31" s="31" t="s">
        <v>12</v>
      </c>
      <c r="M31" s="31" t="s">
        <v>11</v>
      </c>
      <c r="N31" s="31" t="s">
        <v>12</v>
      </c>
      <c r="O31" s="31" t="s">
        <v>11</v>
      </c>
      <c r="P31" s="31" t="s">
        <v>12</v>
      </c>
      <c r="Q31" s="31" t="s">
        <v>11</v>
      </c>
      <c r="R31" s="31" t="s">
        <v>12</v>
      </c>
      <c r="S31" s="31" t="s">
        <v>11</v>
      </c>
      <c r="T31" s="31" t="s">
        <v>12</v>
      </c>
      <c r="U31" s="31" t="s">
        <v>11</v>
      </c>
      <c r="V31" s="31" t="s">
        <v>12</v>
      </c>
      <c r="W31" s="31" t="s">
        <v>11</v>
      </c>
      <c r="X31" s="31" t="s">
        <v>12</v>
      </c>
      <c r="Y31" s="31" t="s">
        <v>11</v>
      </c>
      <c r="Z31" s="31" t="s">
        <v>12</v>
      </c>
      <c r="AA31" s="31" t="s">
        <v>11</v>
      </c>
      <c r="AB31" s="31" t="s">
        <v>12</v>
      </c>
      <c r="AC31" s="31" t="s">
        <v>11</v>
      </c>
      <c r="AD31" s="31" t="s">
        <v>12</v>
      </c>
      <c r="AE31" s="31" t="s">
        <v>11</v>
      </c>
      <c r="AF31" s="31" t="s">
        <v>12</v>
      </c>
      <c r="AG31" s="31" t="s">
        <v>11</v>
      </c>
      <c r="AH31" s="31" t="s">
        <v>12</v>
      </c>
      <c r="AI31" s="31" t="s">
        <v>11</v>
      </c>
      <c r="AJ31" s="31" t="s">
        <v>12</v>
      </c>
      <c r="AK31" s="31" t="s">
        <v>11</v>
      </c>
      <c r="AL31" s="31" t="s">
        <v>12</v>
      </c>
      <c r="AM31" s="31" t="s">
        <v>11</v>
      </c>
      <c r="AN31" s="31" t="s">
        <v>12</v>
      </c>
      <c r="AO31" s="31" t="s">
        <v>11</v>
      </c>
      <c r="AP31" s="31" t="s">
        <v>12</v>
      </c>
    </row>
    <row r="32" spans="1:45" s="30" customFormat="1" ht="19.5" thickBot="1">
      <c r="A32" s="33">
        <v>1</v>
      </c>
      <c r="B32" s="31">
        <v>2</v>
      </c>
      <c r="C32" s="31">
        <v>3</v>
      </c>
      <c r="D32" s="31">
        <v>4.0999999999999996</v>
      </c>
      <c r="E32" s="31">
        <v>4.2</v>
      </c>
      <c r="F32" s="31">
        <v>4.3</v>
      </c>
      <c r="G32" s="31">
        <v>4.4000000000000004</v>
      </c>
      <c r="H32" s="31" t="s">
        <v>103</v>
      </c>
      <c r="I32" s="31" t="s">
        <v>103</v>
      </c>
      <c r="J32" s="31">
        <v>5.0999999999999996</v>
      </c>
      <c r="K32" s="31">
        <v>5.2</v>
      </c>
      <c r="L32" s="31">
        <v>5.3</v>
      </c>
      <c r="M32" s="31">
        <v>5.4</v>
      </c>
      <c r="N32" s="31" t="s">
        <v>104</v>
      </c>
      <c r="O32" s="31" t="s">
        <v>104</v>
      </c>
      <c r="P32" s="31">
        <v>6.1</v>
      </c>
      <c r="Q32" s="31">
        <v>6.2</v>
      </c>
      <c r="R32" s="31">
        <v>6.3</v>
      </c>
      <c r="S32" s="31">
        <v>6.4</v>
      </c>
      <c r="T32" s="31" t="s">
        <v>105</v>
      </c>
      <c r="U32" s="31" t="s">
        <v>105</v>
      </c>
      <c r="V32" s="31">
        <v>7.1</v>
      </c>
      <c r="W32" s="31">
        <v>7.2</v>
      </c>
      <c r="X32" s="31">
        <v>7.3</v>
      </c>
      <c r="Y32" s="31">
        <v>7.4</v>
      </c>
      <c r="Z32" s="31" t="s">
        <v>106</v>
      </c>
      <c r="AA32" s="31" t="s">
        <v>106</v>
      </c>
      <c r="AB32" s="31">
        <v>8.1</v>
      </c>
      <c r="AC32" s="31">
        <v>8.1999999999999993</v>
      </c>
      <c r="AD32" s="31">
        <v>8.3000000000000007</v>
      </c>
      <c r="AE32" s="31">
        <v>8.4</v>
      </c>
      <c r="AF32" s="31" t="s">
        <v>107</v>
      </c>
      <c r="AG32" s="31" t="s">
        <v>107</v>
      </c>
      <c r="AH32" s="31">
        <v>9.1</v>
      </c>
      <c r="AI32" s="31">
        <v>9.1999999999999993</v>
      </c>
      <c r="AJ32" s="31">
        <v>9.3000000000000007</v>
      </c>
      <c r="AK32" s="31">
        <v>9.4</v>
      </c>
      <c r="AL32" s="31" t="s">
        <v>108</v>
      </c>
      <c r="AM32" s="31" t="s">
        <v>108</v>
      </c>
      <c r="AN32" s="31">
        <v>10.1</v>
      </c>
      <c r="AO32" s="31">
        <v>10.199999999999999</v>
      </c>
      <c r="AP32" s="31">
        <v>10.3</v>
      </c>
      <c r="AQ32" s="31">
        <v>10.4</v>
      </c>
      <c r="AR32" s="31" t="s">
        <v>109</v>
      </c>
      <c r="AS32" s="31" t="s">
        <v>109</v>
      </c>
    </row>
    <row r="33" spans="1:45" s="30" customFormat="1" ht="19.5" thickBo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</row>
    <row r="34" spans="1:45" s="30" customFormat="1" ht="19.5" thickBo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</row>
  </sheetData>
  <mergeCells count="23">
    <mergeCell ref="A20:V20"/>
    <mergeCell ref="A6:AA6"/>
    <mergeCell ref="A7:AA7"/>
    <mergeCell ref="A8:AA8"/>
    <mergeCell ref="A10:AA10"/>
    <mergeCell ref="A11:AA11"/>
    <mergeCell ref="A12:AA12"/>
    <mergeCell ref="A13:V13"/>
    <mergeCell ref="A15:V15"/>
    <mergeCell ref="A17:V17"/>
    <mergeCell ref="A18:V18"/>
    <mergeCell ref="A19:V19"/>
    <mergeCell ref="V28:X28"/>
    <mergeCell ref="A27:A30"/>
    <mergeCell ref="B27:B30"/>
    <mergeCell ref="C27:C30"/>
    <mergeCell ref="D27:X27"/>
    <mergeCell ref="D28:F28"/>
    <mergeCell ref="G28:I28"/>
    <mergeCell ref="J28:L28"/>
    <mergeCell ref="M28:O28"/>
    <mergeCell ref="P28:R28"/>
    <mergeCell ref="S28:U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38"/>
  <sheetViews>
    <sheetView zoomScale="70" zoomScaleNormal="70" workbookViewId="0">
      <selection activeCell="A22" sqref="A22:XFD23"/>
    </sheetView>
  </sheetViews>
  <sheetFormatPr defaultRowHeight="15"/>
  <cols>
    <col min="1" max="1" width="9.140625" style="9"/>
    <col min="4" max="4" width="34" customWidth="1"/>
  </cols>
  <sheetData>
    <row r="1" spans="1:13" ht="15.75">
      <c r="J1" s="7" t="s">
        <v>110</v>
      </c>
    </row>
    <row r="2" spans="1:13" ht="15.75">
      <c r="J2" s="7" t="s">
        <v>23</v>
      </c>
    </row>
    <row r="3" spans="1:13" ht="15.75">
      <c r="J3" s="7" t="s">
        <v>24</v>
      </c>
    </row>
    <row r="6" spans="1:13">
      <c r="A6" s="626" t="s">
        <v>111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</row>
    <row r="7" spans="1:13">
      <c r="A7" s="626" t="s">
        <v>112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</row>
    <row r="8" spans="1:13">
      <c r="A8" s="626" t="s">
        <v>28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</row>
    <row r="9" spans="1:13">
      <c r="A9" s="8"/>
    </row>
    <row r="10" spans="1:13">
      <c r="A10" s="626" t="s">
        <v>29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</row>
    <row r="11" spans="1:13">
      <c r="A11" s="626" t="s">
        <v>30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</row>
    <row r="12" spans="1:13">
      <c r="A12" s="626" t="s">
        <v>31</v>
      </c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</row>
    <row r="13" spans="1:13">
      <c r="A13" s="626" t="s">
        <v>32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</row>
    <row r="14" spans="1:13">
      <c r="A14" s="8"/>
    </row>
    <row r="15" spans="1:13">
      <c r="A15" s="626" t="s">
        <v>33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</row>
    <row r="16" spans="1:13">
      <c r="A16" s="8"/>
    </row>
    <row r="17" spans="1:13">
      <c r="A17" s="626" t="s">
        <v>34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</row>
    <row r="18" spans="1:13">
      <c r="A18" s="626" t="s">
        <v>35</v>
      </c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</row>
    <row r="19" spans="1:13">
      <c r="A19" s="626" t="s">
        <v>36</v>
      </c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</row>
    <row r="20" spans="1:13">
      <c r="A20" s="637" t="s">
        <v>37</v>
      </c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637"/>
      <c r="M20" s="637"/>
    </row>
    <row r="21" spans="1:13" s="24" customFormat="1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7" spans="1:13" ht="15.75" thickBot="1"/>
    <row r="28" spans="1:13" ht="156.75" customHeight="1" thickBot="1">
      <c r="A28" s="657" t="s">
        <v>0</v>
      </c>
      <c r="B28" s="657" t="s">
        <v>1</v>
      </c>
      <c r="C28" s="657" t="s">
        <v>2</v>
      </c>
      <c r="D28" s="657" t="s">
        <v>113</v>
      </c>
      <c r="E28" s="657" t="s">
        <v>114</v>
      </c>
      <c r="F28" s="660" t="s">
        <v>115</v>
      </c>
      <c r="G28" s="662"/>
      <c r="H28" s="660" t="s">
        <v>116</v>
      </c>
      <c r="I28" s="662"/>
      <c r="J28" s="660" t="s">
        <v>117</v>
      </c>
      <c r="K28" s="662"/>
      <c r="L28" s="660" t="s">
        <v>118</v>
      </c>
      <c r="M28" s="662"/>
    </row>
    <row r="29" spans="1:13" ht="95.25" thickBot="1">
      <c r="A29" s="659"/>
      <c r="B29" s="659"/>
      <c r="C29" s="659"/>
      <c r="D29" s="659"/>
      <c r="E29" s="659"/>
      <c r="F29" s="27" t="s">
        <v>119</v>
      </c>
      <c r="G29" s="27" t="s">
        <v>120</v>
      </c>
      <c r="H29" s="27" t="s">
        <v>121</v>
      </c>
      <c r="I29" s="27" t="s">
        <v>122</v>
      </c>
      <c r="J29" s="27" t="s">
        <v>121</v>
      </c>
      <c r="K29" s="27" t="s">
        <v>122</v>
      </c>
      <c r="L29" s="27" t="s">
        <v>121</v>
      </c>
      <c r="M29" s="27" t="s">
        <v>122</v>
      </c>
    </row>
    <row r="30" spans="1:13" ht="16.5" thickBot="1">
      <c r="A30" s="28">
        <v>1</v>
      </c>
      <c r="B30" s="27">
        <v>2</v>
      </c>
      <c r="C30" s="27">
        <v>3</v>
      </c>
      <c r="D30" s="27">
        <v>4</v>
      </c>
      <c r="E30" s="27">
        <v>5</v>
      </c>
      <c r="F30" s="27">
        <v>6</v>
      </c>
      <c r="G30" s="27">
        <v>7</v>
      </c>
      <c r="H30" s="27">
        <v>8</v>
      </c>
      <c r="I30" s="27">
        <v>9</v>
      </c>
      <c r="J30" s="27">
        <v>10</v>
      </c>
      <c r="K30" s="27">
        <v>11</v>
      </c>
      <c r="L30" s="27">
        <v>12</v>
      </c>
      <c r="M30" s="27">
        <v>13</v>
      </c>
    </row>
    <row r="31" spans="1:13" ht="16.5" thickBo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6.5" thickBo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63" customHeight="1" thickBot="1">
      <c r="A33" s="4"/>
      <c r="B33" s="681" t="s">
        <v>21</v>
      </c>
      <c r="C33" s="682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1:13" ht="15.75">
      <c r="A38" s="7" t="s">
        <v>83</v>
      </c>
    </row>
  </sheetData>
  <mergeCells count="22">
    <mergeCell ref="A20:M20"/>
    <mergeCell ref="A6:M6"/>
    <mergeCell ref="A7:M7"/>
    <mergeCell ref="A8:M8"/>
    <mergeCell ref="A10:M10"/>
    <mergeCell ref="A11:M11"/>
    <mergeCell ref="A12:M12"/>
    <mergeCell ref="A13:M13"/>
    <mergeCell ref="A15:M15"/>
    <mergeCell ref="A17:M17"/>
    <mergeCell ref="A18:M18"/>
    <mergeCell ref="A19:M19"/>
    <mergeCell ref="E28:E29"/>
    <mergeCell ref="F28:G28"/>
    <mergeCell ref="H28:I28"/>
    <mergeCell ref="J28:K28"/>
    <mergeCell ref="L28:M28"/>
    <mergeCell ref="B33:C33"/>
    <mergeCell ref="A28:A29"/>
    <mergeCell ref="B28:B29"/>
    <mergeCell ref="C28:C29"/>
    <mergeCell ref="D28:D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383"/>
  <sheetViews>
    <sheetView zoomScale="70" zoomScaleNormal="70" workbookViewId="0">
      <selection activeCell="A22" sqref="A22:XFD23"/>
    </sheetView>
  </sheetViews>
  <sheetFormatPr defaultRowHeight="15"/>
  <cols>
    <col min="1" max="1" width="14.42578125" style="9" customWidth="1"/>
    <col min="2" max="2" width="48.5703125" customWidth="1"/>
    <col min="4" max="4" width="34" customWidth="1"/>
  </cols>
  <sheetData>
    <row r="1" spans="1:13" ht="15.75">
      <c r="J1" s="7" t="s">
        <v>123</v>
      </c>
    </row>
    <row r="2" spans="1:13" ht="15.75">
      <c r="J2" s="7" t="s">
        <v>23</v>
      </c>
    </row>
    <row r="3" spans="1:13" ht="15.75">
      <c r="J3" s="7" t="s">
        <v>24</v>
      </c>
    </row>
    <row r="6" spans="1:13">
      <c r="A6" s="686" t="s">
        <v>124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</row>
    <row r="7" spans="1:13">
      <c r="A7" s="626" t="s">
        <v>125</v>
      </c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</row>
    <row r="8" spans="1:13">
      <c r="A8" s="626"/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</row>
    <row r="9" spans="1:13">
      <c r="A9" s="8" t="s">
        <v>126</v>
      </c>
    </row>
    <row r="10" spans="1:13">
      <c r="A10" s="8" t="s">
        <v>127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>
      <c r="A11" s="8" t="s">
        <v>128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>
      <c r="A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>
      <c r="A13" s="8" t="s">
        <v>129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>
      <c r="A14" s="8"/>
    </row>
    <row r="15" spans="1:13">
      <c r="A15" s="8" t="s">
        <v>130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>
      <c r="A16" s="8"/>
    </row>
    <row r="17" spans="1:14">
      <c r="A17" s="8" t="s">
        <v>131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4">
      <c r="A18" s="8" t="s">
        <v>132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4">
      <c r="A19" s="8" t="s">
        <v>133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4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8"/>
    </row>
    <row r="21" spans="1:14" s="24" customFormat="1">
      <c r="A21" s="29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4">
      <c r="A22" s="8" t="s">
        <v>134</v>
      </c>
    </row>
    <row r="23" spans="1:14">
      <c r="A23" s="8" t="s">
        <v>135</v>
      </c>
    </row>
    <row r="24" spans="1:14" ht="15.75" thickBot="1"/>
    <row r="25" spans="1:14" ht="47.25" customHeight="1" thickBot="1">
      <c r="A25" s="657" t="s">
        <v>136</v>
      </c>
      <c r="B25" s="657" t="s">
        <v>137</v>
      </c>
      <c r="C25" s="657" t="s">
        <v>138</v>
      </c>
      <c r="D25" s="660" t="s">
        <v>139</v>
      </c>
      <c r="E25" s="662"/>
      <c r="F25" s="660" t="s">
        <v>140</v>
      </c>
      <c r="G25" s="662"/>
      <c r="H25" s="657" t="s">
        <v>10</v>
      </c>
    </row>
    <row r="26" spans="1:14" ht="48" thickBot="1">
      <c r="A26" s="659"/>
      <c r="B26" s="659"/>
      <c r="C26" s="659"/>
      <c r="D26" s="27" t="s">
        <v>11</v>
      </c>
      <c r="E26" s="27" t="s">
        <v>12</v>
      </c>
      <c r="F26" s="27" t="s">
        <v>141</v>
      </c>
      <c r="G26" s="27" t="s">
        <v>142</v>
      </c>
      <c r="H26" s="659"/>
    </row>
    <row r="27" spans="1:14" ht="16.5" thickBot="1">
      <c r="A27" s="28">
        <v>1</v>
      </c>
      <c r="B27" s="27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</row>
    <row r="28" spans="1:14" ht="16.5" thickBot="1">
      <c r="A28" s="660" t="s">
        <v>143</v>
      </c>
      <c r="B28" s="661"/>
      <c r="C28" s="661"/>
      <c r="D28" s="661"/>
      <c r="E28" s="661"/>
      <c r="F28" s="661"/>
      <c r="G28" s="661"/>
      <c r="H28" s="662"/>
    </row>
    <row r="29" spans="1:14" ht="32.25" thickBot="1">
      <c r="A29" s="36" t="s">
        <v>144</v>
      </c>
      <c r="B29" t="s">
        <v>145</v>
      </c>
      <c r="C29" s="37" t="s">
        <v>146</v>
      </c>
      <c r="D29" s="3"/>
      <c r="E29" s="3"/>
      <c r="F29" s="3"/>
      <c r="G29" s="3"/>
      <c r="H29" s="3"/>
    </row>
    <row r="30" spans="1:14" ht="32.25" thickBot="1">
      <c r="A30" s="36">
        <v>1.1000000000000001</v>
      </c>
      <c r="B30" s="38" t="s">
        <v>147</v>
      </c>
      <c r="C30" s="37" t="s">
        <v>146</v>
      </c>
      <c r="D30" s="3"/>
      <c r="E30" s="3"/>
      <c r="F30" s="3"/>
      <c r="G30" s="3"/>
      <c r="H30" s="3"/>
    </row>
    <row r="31" spans="1:14" ht="48" thickBot="1">
      <c r="A31" s="39">
        <v>36892</v>
      </c>
      <c r="B31" s="38" t="s">
        <v>148</v>
      </c>
      <c r="C31" s="37" t="s">
        <v>146</v>
      </c>
      <c r="D31" s="3"/>
      <c r="E31" s="3"/>
      <c r="F31" s="3"/>
      <c r="G31" s="3"/>
      <c r="H31" s="3"/>
    </row>
    <row r="32" spans="1:14" ht="48" thickBot="1">
      <c r="A32" s="39">
        <v>37257</v>
      </c>
      <c r="B32" s="38" t="s">
        <v>149</v>
      </c>
      <c r="C32" s="37" t="s">
        <v>146</v>
      </c>
      <c r="D32" s="3"/>
      <c r="E32" s="3"/>
      <c r="F32" s="3"/>
      <c r="G32" s="3"/>
      <c r="H32" s="3"/>
    </row>
    <row r="33" spans="1:8" ht="48" thickBot="1">
      <c r="A33" s="39">
        <v>37622</v>
      </c>
      <c r="B33" s="38" t="s">
        <v>150</v>
      </c>
      <c r="C33" s="37" t="s">
        <v>146</v>
      </c>
      <c r="D33" s="3"/>
      <c r="E33" s="3"/>
      <c r="F33" s="3"/>
      <c r="G33" s="3"/>
      <c r="H33" s="3"/>
    </row>
    <row r="34" spans="1:8" ht="32.25" thickBot="1">
      <c r="A34" s="36">
        <v>1.2</v>
      </c>
      <c r="B34" s="38" t="s">
        <v>151</v>
      </c>
      <c r="C34" s="37" t="s">
        <v>146</v>
      </c>
      <c r="D34" s="3"/>
      <c r="E34" s="3"/>
      <c r="F34" s="3"/>
      <c r="G34" s="3"/>
      <c r="H34" s="3"/>
    </row>
    <row r="35" spans="1:8" ht="32.25" thickBot="1">
      <c r="A35" s="36">
        <v>1.3</v>
      </c>
      <c r="B35" s="38" t="s">
        <v>152</v>
      </c>
      <c r="C35" s="37" t="s">
        <v>146</v>
      </c>
      <c r="D35" s="3"/>
      <c r="E35" s="3"/>
      <c r="F35" s="3"/>
      <c r="G35" s="3"/>
      <c r="H35" s="3"/>
    </row>
    <row r="36" spans="1:8" ht="32.25" thickBot="1">
      <c r="A36" s="36">
        <v>1.4</v>
      </c>
      <c r="B36" s="38" t="s">
        <v>153</v>
      </c>
      <c r="C36" s="37" t="s">
        <v>146</v>
      </c>
      <c r="D36" s="3"/>
      <c r="E36" s="3"/>
      <c r="F36" s="3"/>
      <c r="G36" s="3"/>
      <c r="H36" s="3"/>
    </row>
    <row r="37" spans="1:8" ht="32.25" thickBot="1">
      <c r="A37" s="36">
        <v>1.5</v>
      </c>
      <c r="B37" s="38" t="s">
        <v>154</v>
      </c>
      <c r="C37" s="37" t="s">
        <v>146</v>
      </c>
      <c r="D37" s="3"/>
      <c r="E37" s="3"/>
      <c r="F37" s="3"/>
      <c r="G37" s="3"/>
      <c r="H37" s="3"/>
    </row>
    <row r="38" spans="1:8" ht="32.25" thickBot="1">
      <c r="A38" s="36">
        <v>1.6</v>
      </c>
      <c r="B38" s="38" t="s">
        <v>155</v>
      </c>
      <c r="C38" s="37" t="s">
        <v>146</v>
      </c>
      <c r="D38" s="3"/>
      <c r="E38" s="3"/>
      <c r="F38" s="3"/>
      <c r="G38" s="3"/>
      <c r="H38" s="3"/>
    </row>
    <row r="39" spans="1:8" ht="32.25" thickBot="1">
      <c r="A39" s="36">
        <v>1.7</v>
      </c>
      <c r="B39" s="38" t="s">
        <v>156</v>
      </c>
      <c r="C39" s="37" t="s">
        <v>146</v>
      </c>
      <c r="D39" s="3"/>
      <c r="E39" s="3"/>
      <c r="F39" s="3"/>
      <c r="G39" s="3"/>
      <c r="H39" s="3"/>
    </row>
    <row r="40" spans="1:8" ht="48" thickBot="1">
      <c r="A40" s="36">
        <v>1.8</v>
      </c>
      <c r="B40" s="38" t="s">
        <v>157</v>
      </c>
      <c r="C40" s="37" t="s">
        <v>146</v>
      </c>
      <c r="D40" s="3"/>
      <c r="E40" s="3"/>
      <c r="F40" s="3"/>
      <c r="G40" s="3"/>
      <c r="H40" s="3"/>
    </row>
    <row r="41" spans="1:8" ht="32.25" thickBot="1">
      <c r="A41" s="39">
        <v>37104</v>
      </c>
      <c r="B41" s="40" t="s">
        <v>158</v>
      </c>
      <c r="C41" s="37" t="s">
        <v>146</v>
      </c>
      <c r="D41" s="3"/>
      <c r="E41" s="3"/>
      <c r="F41" s="3"/>
      <c r="G41" s="3"/>
      <c r="H41" s="3"/>
    </row>
    <row r="42" spans="1:8" ht="32.25" thickBot="1">
      <c r="A42" s="39">
        <v>37469</v>
      </c>
      <c r="B42" s="40" t="s">
        <v>159</v>
      </c>
      <c r="C42" s="37" t="s">
        <v>146</v>
      </c>
      <c r="D42" s="3"/>
      <c r="E42" s="3"/>
      <c r="F42" s="3"/>
      <c r="G42" s="3"/>
      <c r="H42" s="3"/>
    </row>
    <row r="43" spans="1:8" ht="32.25" thickBot="1">
      <c r="A43" s="36">
        <v>1.9</v>
      </c>
      <c r="B43" s="41" t="s">
        <v>160</v>
      </c>
      <c r="C43" s="37" t="s">
        <v>146</v>
      </c>
      <c r="D43" s="3"/>
      <c r="E43" s="3"/>
      <c r="F43" s="3"/>
      <c r="G43" s="3"/>
      <c r="H43" s="3"/>
    </row>
    <row r="44" spans="1:8" ht="48" thickBot="1">
      <c r="A44" s="36" t="s">
        <v>161</v>
      </c>
      <c r="B44" s="3" t="s">
        <v>162</v>
      </c>
      <c r="C44" s="37" t="s">
        <v>146</v>
      </c>
      <c r="D44" s="3"/>
      <c r="E44" s="3"/>
      <c r="F44" s="3"/>
      <c r="G44" s="3"/>
      <c r="H44" s="3"/>
    </row>
    <row r="45" spans="1:8" ht="32.25" thickBot="1">
      <c r="A45" s="36">
        <v>2.1</v>
      </c>
      <c r="B45" s="38" t="s">
        <v>147</v>
      </c>
      <c r="C45" s="37" t="s">
        <v>146</v>
      </c>
      <c r="D45" s="3"/>
      <c r="E45" s="3"/>
      <c r="F45" s="3"/>
      <c r="G45" s="3"/>
      <c r="H45" s="3"/>
    </row>
    <row r="46" spans="1:8" ht="48" thickBot="1">
      <c r="A46" s="39">
        <v>36893</v>
      </c>
      <c r="B46" s="40" t="s">
        <v>148</v>
      </c>
      <c r="C46" s="37" t="s">
        <v>146</v>
      </c>
      <c r="D46" s="3"/>
      <c r="E46" s="3"/>
      <c r="F46" s="3"/>
      <c r="G46" s="3"/>
      <c r="H46" s="3"/>
    </row>
    <row r="47" spans="1:8" ht="48" thickBot="1">
      <c r="A47" s="39">
        <v>37258</v>
      </c>
      <c r="B47" s="40" t="s">
        <v>149</v>
      </c>
      <c r="C47" s="37" t="s">
        <v>146</v>
      </c>
      <c r="D47" s="3"/>
      <c r="E47" s="3"/>
      <c r="F47" s="3"/>
      <c r="G47" s="3"/>
      <c r="H47" s="3"/>
    </row>
    <row r="48" spans="1:8" ht="48" thickBot="1">
      <c r="A48" s="39">
        <v>37623</v>
      </c>
      <c r="B48" s="40" t="s">
        <v>150</v>
      </c>
      <c r="C48" s="37" t="s">
        <v>146</v>
      </c>
      <c r="D48" s="3"/>
      <c r="E48" s="3"/>
      <c r="F48" s="3"/>
      <c r="G48" s="3"/>
      <c r="H48" s="3"/>
    </row>
    <row r="49" spans="1:8" ht="32.25" thickBot="1">
      <c r="A49" s="36">
        <v>2.2000000000000002</v>
      </c>
      <c r="B49" s="38" t="s">
        <v>151</v>
      </c>
      <c r="C49" s="37" t="s">
        <v>146</v>
      </c>
      <c r="D49" s="3"/>
      <c r="E49" s="3"/>
      <c r="F49" s="3"/>
      <c r="G49" s="3"/>
      <c r="H49" s="3"/>
    </row>
    <row r="50" spans="1:8" ht="32.25" thickBot="1">
      <c r="A50" s="36">
        <v>2.2999999999999998</v>
      </c>
      <c r="B50" s="38" t="s">
        <v>152</v>
      </c>
      <c r="C50" s="37" t="s">
        <v>146</v>
      </c>
      <c r="D50" s="3"/>
      <c r="E50" s="3"/>
      <c r="F50" s="3"/>
      <c r="G50" s="3"/>
      <c r="H50" s="3"/>
    </row>
    <row r="51" spans="1:8" ht="32.25" thickBot="1">
      <c r="A51" s="36">
        <v>2.4</v>
      </c>
      <c r="B51" s="38" t="s">
        <v>153</v>
      </c>
      <c r="C51" s="37" t="s">
        <v>146</v>
      </c>
      <c r="D51" s="3"/>
      <c r="E51" s="3"/>
      <c r="F51" s="3"/>
      <c r="G51" s="3"/>
      <c r="H51" s="3"/>
    </row>
    <row r="52" spans="1:8" ht="32.25" thickBot="1">
      <c r="A52" s="36">
        <v>2.5</v>
      </c>
      <c r="B52" s="38" t="s">
        <v>154</v>
      </c>
      <c r="C52" s="37" t="s">
        <v>146</v>
      </c>
      <c r="D52" s="3"/>
      <c r="E52" s="3"/>
      <c r="F52" s="3"/>
      <c r="G52" s="3"/>
      <c r="H52" s="3"/>
    </row>
    <row r="53" spans="1:8" ht="32.25" thickBot="1">
      <c r="A53" s="36">
        <v>2.6</v>
      </c>
      <c r="B53" s="38" t="s">
        <v>155</v>
      </c>
      <c r="C53" s="37" t="s">
        <v>146</v>
      </c>
      <c r="D53" s="3"/>
      <c r="E53" s="3"/>
      <c r="F53" s="3"/>
      <c r="G53" s="3"/>
      <c r="H53" s="3"/>
    </row>
    <row r="54" spans="1:8" ht="32.25" thickBot="1">
      <c r="A54" s="36">
        <v>2.7</v>
      </c>
      <c r="B54" s="38" t="s">
        <v>156</v>
      </c>
      <c r="C54" s="37" t="s">
        <v>146</v>
      </c>
      <c r="D54" s="3"/>
      <c r="E54" s="3"/>
      <c r="F54" s="3"/>
      <c r="G54" s="3"/>
      <c r="H54" s="3"/>
    </row>
    <row r="55" spans="1:8" ht="48" thickBot="1">
      <c r="A55" s="36">
        <v>2.8</v>
      </c>
      <c r="B55" s="38" t="s">
        <v>157</v>
      </c>
      <c r="C55" s="37" t="s">
        <v>146</v>
      </c>
      <c r="D55" s="3"/>
      <c r="E55" s="3"/>
      <c r="F55" s="3"/>
      <c r="G55" s="3"/>
      <c r="H55" s="3"/>
    </row>
    <row r="56" spans="1:8" ht="32.25" thickBot="1">
      <c r="A56" s="39">
        <v>37105</v>
      </c>
      <c r="B56" s="40" t="s">
        <v>158</v>
      </c>
      <c r="C56" s="37" t="s">
        <v>146</v>
      </c>
      <c r="D56" s="3"/>
      <c r="E56" s="3"/>
      <c r="F56" s="3"/>
      <c r="G56" s="3"/>
      <c r="H56" s="3"/>
    </row>
    <row r="57" spans="1:8" ht="32.25" thickBot="1">
      <c r="A57" s="39">
        <v>37470</v>
      </c>
      <c r="B57" s="40" t="s">
        <v>159</v>
      </c>
      <c r="C57" s="37" t="s">
        <v>146</v>
      </c>
      <c r="D57" s="3"/>
      <c r="E57" s="3"/>
      <c r="F57" s="3"/>
      <c r="G57" s="3"/>
      <c r="H57" s="3"/>
    </row>
    <row r="58" spans="1:8" ht="32.25" thickBot="1">
      <c r="A58" s="36">
        <v>2.9</v>
      </c>
      <c r="B58" s="41" t="s">
        <v>160</v>
      </c>
      <c r="C58" s="37" t="s">
        <v>146</v>
      </c>
      <c r="D58" s="3"/>
      <c r="E58" s="3"/>
      <c r="F58" s="3"/>
      <c r="G58" s="3"/>
      <c r="H58" s="3"/>
    </row>
    <row r="59" spans="1:8" ht="32.25" thickBot="1">
      <c r="A59" s="36" t="s">
        <v>163</v>
      </c>
      <c r="B59" s="38" t="s">
        <v>164</v>
      </c>
      <c r="C59" s="37" t="s">
        <v>146</v>
      </c>
      <c r="D59" s="3"/>
      <c r="E59" s="3"/>
      <c r="F59" s="3"/>
      <c r="G59" s="3"/>
      <c r="H59" s="3"/>
    </row>
    <row r="60" spans="1:8" ht="32.25" thickBot="1">
      <c r="A60" s="39">
        <v>36893</v>
      </c>
      <c r="B60" s="40" t="s">
        <v>165</v>
      </c>
      <c r="C60" s="37" t="s">
        <v>146</v>
      </c>
      <c r="D60" s="3"/>
      <c r="E60" s="3"/>
      <c r="F60" s="3"/>
      <c r="G60" s="3"/>
      <c r="H60" s="3"/>
    </row>
    <row r="61" spans="1:8" ht="32.25" thickBot="1">
      <c r="A61" s="39">
        <v>37258</v>
      </c>
      <c r="B61" s="40" t="s">
        <v>166</v>
      </c>
      <c r="C61" s="37" t="s">
        <v>146</v>
      </c>
      <c r="D61" s="3"/>
      <c r="E61" s="3"/>
      <c r="F61" s="3"/>
      <c r="G61" s="3"/>
      <c r="H61" s="3"/>
    </row>
    <row r="62" spans="1:8" ht="32.25" thickBot="1">
      <c r="A62" s="36" t="s">
        <v>167</v>
      </c>
      <c r="B62" s="42" t="s">
        <v>168</v>
      </c>
      <c r="C62" s="37" t="s">
        <v>146</v>
      </c>
      <c r="D62" s="3"/>
      <c r="E62" s="3"/>
      <c r="F62" s="3"/>
      <c r="G62" s="3"/>
      <c r="H62" s="3"/>
    </row>
    <row r="63" spans="1:8" ht="48" thickBot="1">
      <c r="A63" s="36" t="s">
        <v>169</v>
      </c>
      <c r="B63" s="43" t="s">
        <v>170</v>
      </c>
      <c r="C63" s="37" t="s">
        <v>146</v>
      </c>
      <c r="D63" s="3"/>
      <c r="E63" s="3"/>
      <c r="F63" s="3"/>
      <c r="G63" s="3"/>
      <c r="H63" s="3"/>
    </row>
    <row r="64" spans="1:8" ht="32.25" thickBot="1">
      <c r="A64" s="36" t="s">
        <v>171</v>
      </c>
      <c r="B64" s="43" t="s">
        <v>172</v>
      </c>
      <c r="C64" s="37" t="s">
        <v>146</v>
      </c>
      <c r="D64" s="3"/>
      <c r="E64" s="3"/>
      <c r="F64" s="3"/>
      <c r="G64" s="3"/>
      <c r="H64" s="3"/>
    </row>
    <row r="65" spans="1:8" ht="32.25" thickBot="1">
      <c r="A65" s="36" t="s">
        <v>173</v>
      </c>
      <c r="B65" s="42" t="s">
        <v>174</v>
      </c>
      <c r="C65" s="37" t="s">
        <v>146</v>
      </c>
      <c r="D65" s="3"/>
      <c r="E65" s="3"/>
      <c r="F65" s="3"/>
      <c r="G65" s="3"/>
      <c r="H65" s="3"/>
    </row>
    <row r="66" spans="1:8" ht="32.25" thickBot="1">
      <c r="A66" s="39">
        <v>37623</v>
      </c>
      <c r="B66" s="40" t="s">
        <v>175</v>
      </c>
      <c r="C66" s="37" t="s">
        <v>146</v>
      </c>
      <c r="D66" s="3"/>
      <c r="E66" s="3"/>
      <c r="F66" s="3"/>
      <c r="G66" s="3"/>
      <c r="H66" s="3"/>
    </row>
    <row r="67" spans="1:8" ht="32.25" thickBot="1">
      <c r="A67" s="39">
        <v>37988</v>
      </c>
      <c r="B67" s="44" t="s">
        <v>176</v>
      </c>
      <c r="C67" s="37" t="s">
        <v>146</v>
      </c>
      <c r="D67" s="3"/>
      <c r="E67" s="3"/>
      <c r="F67" s="3"/>
      <c r="G67" s="3"/>
      <c r="H67" s="3"/>
    </row>
    <row r="68" spans="1:8" ht="32.25" thickBot="1">
      <c r="A68" s="36" t="s">
        <v>177</v>
      </c>
      <c r="B68" s="38" t="s">
        <v>178</v>
      </c>
      <c r="C68" s="37" t="s">
        <v>146</v>
      </c>
      <c r="D68" s="3"/>
      <c r="E68" s="3"/>
      <c r="F68" s="3"/>
      <c r="G68" s="3"/>
      <c r="H68" s="3"/>
    </row>
    <row r="69" spans="1:8" ht="48" thickBot="1">
      <c r="A69" s="39">
        <v>36924</v>
      </c>
      <c r="B69" s="40" t="s">
        <v>179</v>
      </c>
      <c r="C69" s="37" t="s">
        <v>146</v>
      </c>
      <c r="D69" s="3"/>
      <c r="E69" s="3"/>
      <c r="F69" s="3"/>
      <c r="G69" s="3"/>
      <c r="H69" s="3"/>
    </row>
    <row r="70" spans="1:8" ht="48" thickBot="1">
      <c r="A70" s="39">
        <v>37289</v>
      </c>
      <c r="B70" s="40" t="s">
        <v>180</v>
      </c>
      <c r="C70" s="37" t="s">
        <v>146</v>
      </c>
      <c r="D70" s="3"/>
      <c r="E70" s="3"/>
      <c r="F70" s="3"/>
      <c r="G70" s="3"/>
      <c r="H70" s="3"/>
    </row>
    <row r="71" spans="1:8" ht="32.25" thickBot="1">
      <c r="A71" s="39">
        <v>37654</v>
      </c>
      <c r="B71" s="40" t="s">
        <v>181</v>
      </c>
      <c r="C71" s="37" t="s">
        <v>146</v>
      </c>
      <c r="D71" s="3"/>
      <c r="E71" s="3"/>
      <c r="F71" s="3"/>
      <c r="G71" s="3"/>
      <c r="H71" s="3"/>
    </row>
    <row r="72" spans="1:8" ht="32.25" thickBot="1">
      <c r="A72" s="39">
        <v>38019</v>
      </c>
      <c r="B72" s="45" t="s">
        <v>182</v>
      </c>
      <c r="C72" s="37" t="s">
        <v>146</v>
      </c>
      <c r="D72" s="3"/>
      <c r="E72" s="3"/>
      <c r="F72" s="3"/>
      <c r="G72" s="3"/>
      <c r="H72" s="3"/>
    </row>
    <row r="73" spans="1:8" ht="32.25" thickBot="1">
      <c r="A73" s="39">
        <v>38385</v>
      </c>
      <c r="B73" s="40" t="s">
        <v>183</v>
      </c>
      <c r="C73" s="37" t="s">
        <v>146</v>
      </c>
      <c r="D73" s="3"/>
      <c r="E73" s="3"/>
      <c r="F73" s="3"/>
      <c r="G73" s="3"/>
      <c r="H73" s="3"/>
    </row>
    <row r="74" spans="1:8" ht="32.25" thickBot="1">
      <c r="A74" s="36" t="s">
        <v>184</v>
      </c>
      <c r="B74" s="38" t="s">
        <v>185</v>
      </c>
      <c r="C74" s="37" t="s">
        <v>146</v>
      </c>
      <c r="D74" s="3"/>
      <c r="E74" s="3"/>
      <c r="F74" s="3"/>
      <c r="G74" s="3"/>
      <c r="H74" s="3"/>
    </row>
    <row r="75" spans="1:8" ht="32.25" thickBot="1">
      <c r="A75" s="36" t="s">
        <v>186</v>
      </c>
      <c r="B75" s="38" t="s">
        <v>187</v>
      </c>
      <c r="C75" s="37" t="s">
        <v>146</v>
      </c>
      <c r="D75" s="3"/>
      <c r="E75" s="3"/>
      <c r="F75" s="3"/>
      <c r="G75" s="3"/>
      <c r="H75" s="3"/>
    </row>
    <row r="76" spans="1:8" ht="32.25" thickBot="1">
      <c r="A76" s="36" t="s">
        <v>188</v>
      </c>
      <c r="B76" s="38" t="s">
        <v>189</v>
      </c>
      <c r="C76" s="37" t="s">
        <v>146</v>
      </c>
      <c r="D76" s="3"/>
      <c r="E76" s="3"/>
      <c r="F76" s="3"/>
      <c r="G76" s="3"/>
      <c r="H76" s="3"/>
    </row>
    <row r="77" spans="1:8" ht="32.25" thickBot="1">
      <c r="A77" s="39">
        <v>37013</v>
      </c>
      <c r="B77" s="40" t="s">
        <v>190</v>
      </c>
      <c r="C77" s="37" t="s">
        <v>146</v>
      </c>
      <c r="D77" s="3"/>
      <c r="E77" s="3"/>
      <c r="F77" s="3"/>
      <c r="G77" s="3"/>
      <c r="H77" s="3"/>
    </row>
    <row r="78" spans="1:8" ht="32.25" thickBot="1">
      <c r="A78" s="39">
        <v>37378</v>
      </c>
      <c r="B78" s="44" t="s">
        <v>191</v>
      </c>
      <c r="C78" s="37" t="s">
        <v>146</v>
      </c>
      <c r="D78" s="3"/>
      <c r="E78" s="3"/>
      <c r="F78" s="3"/>
      <c r="G78" s="3"/>
      <c r="H78" s="3"/>
    </row>
    <row r="79" spans="1:8" ht="32.25" thickBot="1">
      <c r="A79" s="36" t="s">
        <v>192</v>
      </c>
      <c r="B79" s="38" t="s">
        <v>193</v>
      </c>
      <c r="C79" s="37" t="s">
        <v>146</v>
      </c>
      <c r="D79" s="3"/>
      <c r="E79" s="3"/>
      <c r="F79" s="3"/>
      <c r="G79" s="3"/>
      <c r="H79" s="3"/>
    </row>
    <row r="80" spans="1:8" ht="32.25" thickBot="1">
      <c r="A80" s="39">
        <v>37044</v>
      </c>
      <c r="B80" s="40" t="s">
        <v>194</v>
      </c>
      <c r="C80" s="37" t="s">
        <v>146</v>
      </c>
      <c r="D80" s="3"/>
      <c r="E80" s="3"/>
      <c r="F80" s="3"/>
      <c r="G80" s="3"/>
      <c r="H80" s="3"/>
    </row>
    <row r="81" spans="1:8" ht="32.25" thickBot="1">
      <c r="A81" s="39">
        <v>37409</v>
      </c>
      <c r="B81" s="40" t="s">
        <v>195</v>
      </c>
      <c r="C81" s="37" t="s">
        <v>146</v>
      </c>
      <c r="D81" s="3"/>
      <c r="E81" s="3"/>
      <c r="F81" s="3"/>
      <c r="G81" s="3"/>
      <c r="H81" s="3"/>
    </row>
    <row r="82" spans="1:8" ht="32.25" thickBot="1">
      <c r="A82" s="39">
        <v>37774</v>
      </c>
      <c r="B82" s="44" t="s">
        <v>196</v>
      </c>
      <c r="C82" s="37" t="s">
        <v>146</v>
      </c>
      <c r="D82" s="3"/>
      <c r="E82" s="3"/>
      <c r="F82" s="3"/>
      <c r="G82" s="3"/>
      <c r="H82" s="3"/>
    </row>
    <row r="83" spans="1:8" ht="32.25" thickBot="1">
      <c r="A83" s="36" t="s">
        <v>197</v>
      </c>
      <c r="B83" s="38" t="s">
        <v>198</v>
      </c>
      <c r="C83" s="37" t="s">
        <v>146</v>
      </c>
      <c r="D83" s="3"/>
      <c r="E83" s="3"/>
      <c r="F83" s="3"/>
      <c r="G83" s="3"/>
      <c r="H83" s="3"/>
    </row>
    <row r="84" spans="1:8" ht="32.25" thickBot="1">
      <c r="A84" s="39">
        <v>37074</v>
      </c>
      <c r="B84" s="44" t="s">
        <v>199</v>
      </c>
      <c r="C84" s="37" t="s">
        <v>146</v>
      </c>
      <c r="D84" s="3"/>
      <c r="E84" s="3"/>
      <c r="F84" s="3"/>
      <c r="G84" s="3"/>
      <c r="H84" s="3"/>
    </row>
    <row r="85" spans="1:8" ht="32.25" thickBot="1">
      <c r="A85" s="39">
        <v>37439</v>
      </c>
      <c r="B85" s="44" t="s">
        <v>200</v>
      </c>
      <c r="C85" s="37" t="s">
        <v>146</v>
      </c>
      <c r="D85" s="3"/>
      <c r="E85" s="3"/>
      <c r="F85" s="3"/>
      <c r="G85" s="3"/>
      <c r="H85" s="3"/>
    </row>
    <row r="86" spans="1:8" ht="32.25" thickBot="1">
      <c r="A86" s="39">
        <v>37804</v>
      </c>
      <c r="B86" s="44" t="s">
        <v>201</v>
      </c>
      <c r="C86" s="37" t="s">
        <v>146</v>
      </c>
      <c r="D86" s="3"/>
      <c r="E86" s="3"/>
      <c r="F86" s="3"/>
      <c r="G86" s="3"/>
      <c r="H86" s="3"/>
    </row>
    <row r="87" spans="1:8" ht="32.25" thickBot="1">
      <c r="A87" s="36" t="s">
        <v>202</v>
      </c>
      <c r="B87" s="3" t="s">
        <v>203</v>
      </c>
      <c r="C87" s="37" t="s">
        <v>146</v>
      </c>
      <c r="D87" s="3"/>
      <c r="E87" s="3"/>
      <c r="F87" s="3"/>
      <c r="G87" s="3"/>
      <c r="H87" s="3"/>
    </row>
    <row r="88" spans="1:8" ht="32.25" thickBot="1">
      <c r="A88" s="36">
        <v>3.1</v>
      </c>
      <c r="B88" s="38" t="s">
        <v>147</v>
      </c>
      <c r="C88" s="37" t="s">
        <v>146</v>
      </c>
      <c r="D88" s="3"/>
      <c r="E88" s="3"/>
      <c r="F88" s="3"/>
      <c r="G88" s="3"/>
      <c r="H88" s="3"/>
    </row>
    <row r="89" spans="1:8" ht="48" thickBot="1">
      <c r="A89" s="39">
        <v>36894</v>
      </c>
      <c r="B89" s="40" t="s">
        <v>148</v>
      </c>
      <c r="C89" s="37" t="s">
        <v>146</v>
      </c>
      <c r="D89" s="3"/>
      <c r="E89" s="3"/>
      <c r="F89" s="3"/>
      <c r="G89" s="3"/>
      <c r="H89" s="3"/>
    </row>
    <row r="90" spans="1:8" ht="48" thickBot="1">
      <c r="A90" s="39">
        <v>37259</v>
      </c>
      <c r="B90" s="40" t="s">
        <v>149</v>
      </c>
      <c r="C90" s="37" t="s">
        <v>146</v>
      </c>
      <c r="D90" s="3"/>
      <c r="E90" s="3"/>
      <c r="F90" s="3"/>
      <c r="G90" s="3"/>
      <c r="H90" s="3"/>
    </row>
    <row r="91" spans="1:8" ht="48" thickBot="1">
      <c r="A91" s="39">
        <v>37624</v>
      </c>
      <c r="B91" s="40" t="s">
        <v>150</v>
      </c>
      <c r="C91" s="37" t="s">
        <v>146</v>
      </c>
      <c r="D91" s="3"/>
      <c r="E91" s="3"/>
      <c r="F91" s="3"/>
      <c r="G91" s="3"/>
      <c r="H91" s="3"/>
    </row>
    <row r="92" spans="1:8" ht="32.25" thickBot="1">
      <c r="A92" s="36">
        <v>3.2</v>
      </c>
      <c r="B92" s="38" t="s">
        <v>151</v>
      </c>
      <c r="C92" s="37" t="s">
        <v>146</v>
      </c>
      <c r="D92" s="3"/>
      <c r="E92" s="3"/>
      <c r="F92" s="3"/>
      <c r="G92" s="3"/>
      <c r="H92" s="3"/>
    </row>
    <row r="93" spans="1:8" ht="32.25" thickBot="1">
      <c r="A93" s="36">
        <v>3.3</v>
      </c>
      <c r="B93" s="38" t="s">
        <v>152</v>
      </c>
      <c r="C93" s="37" t="s">
        <v>146</v>
      </c>
      <c r="D93" s="3"/>
      <c r="E93" s="3"/>
      <c r="F93" s="3"/>
      <c r="G93" s="3"/>
      <c r="H93" s="3"/>
    </row>
    <row r="94" spans="1:8" ht="32.25" thickBot="1">
      <c r="A94" s="36">
        <v>3.4</v>
      </c>
      <c r="B94" s="38" t="s">
        <v>153</v>
      </c>
      <c r="C94" s="37" t="s">
        <v>146</v>
      </c>
      <c r="D94" s="3"/>
      <c r="E94" s="3"/>
      <c r="F94" s="3"/>
      <c r="G94" s="3"/>
      <c r="H94" s="3"/>
    </row>
    <row r="95" spans="1:8" ht="32.25" thickBot="1">
      <c r="A95" s="36">
        <v>3.5</v>
      </c>
      <c r="B95" s="38" t="s">
        <v>154</v>
      </c>
      <c r="C95" s="37" t="s">
        <v>146</v>
      </c>
      <c r="D95" s="3"/>
      <c r="E95" s="3"/>
      <c r="F95" s="3"/>
      <c r="G95" s="3"/>
      <c r="H95" s="3"/>
    </row>
    <row r="96" spans="1:8" ht="32.25" thickBot="1">
      <c r="A96" s="36">
        <v>3.6</v>
      </c>
      <c r="B96" s="38" t="s">
        <v>155</v>
      </c>
      <c r="C96" s="37" t="s">
        <v>146</v>
      </c>
      <c r="D96" s="3"/>
      <c r="E96" s="3"/>
      <c r="F96" s="3"/>
      <c r="G96" s="3"/>
      <c r="H96" s="3"/>
    </row>
    <row r="97" spans="1:8" ht="32.25" thickBot="1">
      <c r="A97" s="36">
        <v>3.7</v>
      </c>
      <c r="B97" s="38" t="s">
        <v>156</v>
      </c>
      <c r="C97" s="37" t="s">
        <v>146</v>
      </c>
      <c r="D97" s="3"/>
      <c r="E97" s="3"/>
      <c r="F97" s="3"/>
      <c r="G97" s="3"/>
      <c r="H97" s="3"/>
    </row>
    <row r="98" spans="1:8" ht="48" thickBot="1">
      <c r="A98" s="36">
        <v>3.8</v>
      </c>
      <c r="B98" s="38" t="s">
        <v>157</v>
      </c>
      <c r="C98" s="37" t="s">
        <v>146</v>
      </c>
      <c r="D98" s="3"/>
      <c r="E98" s="3"/>
      <c r="F98" s="3"/>
      <c r="G98" s="3"/>
      <c r="H98" s="3"/>
    </row>
    <row r="99" spans="1:8" ht="32.25" thickBot="1">
      <c r="A99" s="39">
        <v>37106</v>
      </c>
      <c r="B99" s="40" t="s">
        <v>158</v>
      </c>
      <c r="C99" s="37" t="s">
        <v>146</v>
      </c>
      <c r="D99" s="3"/>
      <c r="E99" s="3"/>
      <c r="F99" s="3"/>
      <c r="G99" s="3"/>
      <c r="H99" s="3"/>
    </row>
    <row r="100" spans="1:8" ht="32.25" thickBot="1">
      <c r="A100" s="39">
        <v>37471</v>
      </c>
      <c r="B100" s="40" t="s">
        <v>159</v>
      </c>
      <c r="C100" s="37" t="s">
        <v>146</v>
      </c>
      <c r="D100" s="3"/>
      <c r="E100" s="3"/>
      <c r="F100" s="3"/>
      <c r="G100" s="3"/>
      <c r="H100" s="3"/>
    </row>
    <row r="101" spans="1:8" ht="32.25" thickBot="1">
      <c r="A101" s="36">
        <v>3.9</v>
      </c>
      <c r="B101" s="38" t="s">
        <v>160</v>
      </c>
      <c r="C101" s="37" t="s">
        <v>146</v>
      </c>
      <c r="D101" s="3"/>
      <c r="E101" s="3"/>
      <c r="F101" s="3"/>
      <c r="G101" s="3"/>
      <c r="H101" s="3"/>
    </row>
    <row r="102" spans="1:8" ht="32.25" thickBot="1">
      <c r="A102" s="36" t="s">
        <v>204</v>
      </c>
      <c r="B102" s="3" t="s">
        <v>205</v>
      </c>
      <c r="C102" s="37" t="s">
        <v>146</v>
      </c>
      <c r="D102" s="3"/>
      <c r="E102" s="3"/>
      <c r="F102" s="3"/>
      <c r="G102" s="3"/>
      <c r="H102" s="3"/>
    </row>
    <row r="103" spans="1:8" ht="32.25" thickBot="1">
      <c r="A103" s="36">
        <v>4.0999999999999996</v>
      </c>
      <c r="B103" s="38" t="s">
        <v>206</v>
      </c>
      <c r="C103" s="37" t="s">
        <v>146</v>
      </c>
      <c r="D103" s="3"/>
      <c r="E103" s="3"/>
      <c r="F103" s="3"/>
      <c r="G103" s="3"/>
      <c r="H103" s="3"/>
    </row>
    <row r="104" spans="1:8" ht="32.25" thickBot="1">
      <c r="A104" s="39">
        <v>36895</v>
      </c>
      <c r="B104" s="40" t="s">
        <v>207</v>
      </c>
      <c r="C104" s="37" t="s">
        <v>146</v>
      </c>
      <c r="D104" s="3"/>
      <c r="E104" s="3"/>
      <c r="F104" s="3"/>
      <c r="G104" s="3"/>
      <c r="H104" s="3"/>
    </row>
    <row r="105" spans="1:8" ht="32.25" thickBot="1">
      <c r="A105" s="39">
        <v>37260</v>
      </c>
      <c r="B105" s="44" t="s">
        <v>208</v>
      </c>
      <c r="C105" s="37" t="s">
        <v>146</v>
      </c>
      <c r="D105" s="3"/>
      <c r="E105" s="3"/>
      <c r="F105" s="3"/>
      <c r="G105" s="3"/>
      <c r="H105" s="3"/>
    </row>
    <row r="106" spans="1:8" ht="32.25" thickBot="1">
      <c r="A106" s="39">
        <v>37625</v>
      </c>
      <c r="B106" s="40" t="s">
        <v>209</v>
      </c>
      <c r="C106" s="37" t="s">
        <v>146</v>
      </c>
      <c r="D106" s="3"/>
      <c r="E106" s="3"/>
      <c r="F106" s="3"/>
      <c r="G106" s="3"/>
      <c r="H106" s="3"/>
    </row>
    <row r="107" spans="1:8" ht="32.25" thickBot="1">
      <c r="A107" s="36" t="s">
        <v>210</v>
      </c>
      <c r="B107" s="46" t="s">
        <v>211</v>
      </c>
      <c r="C107" s="37" t="s">
        <v>146</v>
      </c>
      <c r="D107" s="3"/>
      <c r="E107" s="3"/>
      <c r="F107" s="3"/>
      <c r="G107" s="3"/>
      <c r="H107" s="3"/>
    </row>
    <row r="108" spans="1:8" ht="32.25" thickBot="1">
      <c r="A108" s="39">
        <v>37990</v>
      </c>
      <c r="B108" s="40" t="s">
        <v>212</v>
      </c>
      <c r="C108" s="37" t="s">
        <v>146</v>
      </c>
      <c r="D108" s="3"/>
      <c r="E108" s="3"/>
      <c r="F108" s="3"/>
      <c r="G108" s="3"/>
      <c r="H108" s="3"/>
    </row>
    <row r="109" spans="1:8" ht="32.25" thickBot="1">
      <c r="A109" s="36">
        <v>4.2</v>
      </c>
      <c r="B109" s="38" t="s">
        <v>193</v>
      </c>
      <c r="C109" s="37" t="s">
        <v>146</v>
      </c>
      <c r="D109" s="3"/>
      <c r="E109" s="3"/>
      <c r="F109" s="3"/>
      <c r="G109" s="3"/>
      <c r="H109" s="3"/>
    </row>
    <row r="110" spans="1:8" ht="32.25" thickBot="1">
      <c r="A110" s="39">
        <v>36926</v>
      </c>
      <c r="B110" s="40" t="s">
        <v>213</v>
      </c>
      <c r="C110" s="37" t="s">
        <v>146</v>
      </c>
      <c r="D110" s="3"/>
      <c r="E110" s="3"/>
      <c r="F110" s="3"/>
      <c r="G110" s="3"/>
      <c r="H110" s="3"/>
    </row>
    <row r="111" spans="1:8" ht="32.25" thickBot="1">
      <c r="A111" s="39">
        <v>37291</v>
      </c>
      <c r="B111" s="44" t="s">
        <v>214</v>
      </c>
      <c r="C111" s="37" t="s">
        <v>146</v>
      </c>
      <c r="D111" s="3"/>
      <c r="E111" s="3"/>
      <c r="F111" s="3"/>
      <c r="G111" s="3"/>
      <c r="H111" s="3"/>
    </row>
    <row r="112" spans="1:8" ht="32.25" thickBot="1">
      <c r="A112" s="39">
        <v>37656</v>
      </c>
      <c r="B112" s="40" t="s">
        <v>215</v>
      </c>
      <c r="C112" s="37" t="s">
        <v>146</v>
      </c>
      <c r="D112" s="3"/>
      <c r="E112" s="3"/>
      <c r="F112" s="3"/>
      <c r="G112" s="3"/>
      <c r="H112" s="3"/>
    </row>
    <row r="113" spans="1:8" ht="32.25" thickBot="1">
      <c r="A113" s="36" t="s">
        <v>216</v>
      </c>
      <c r="B113" s="46" t="s">
        <v>211</v>
      </c>
      <c r="C113" s="37" t="s">
        <v>146</v>
      </c>
      <c r="D113" s="3"/>
      <c r="E113" s="3"/>
      <c r="F113" s="3"/>
      <c r="G113" s="3"/>
      <c r="H113" s="3"/>
    </row>
    <row r="114" spans="1:8" ht="32.25" thickBot="1">
      <c r="A114" s="39">
        <v>38021</v>
      </c>
      <c r="B114" s="40" t="s">
        <v>217</v>
      </c>
      <c r="C114" s="37" t="s">
        <v>146</v>
      </c>
      <c r="D114" s="3"/>
      <c r="E114" s="3"/>
      <c r="F114" s="3"/>
      <c r="G114" s="3"/>
      <c r="H114" s="3"/>
    </row>
    <row r="115" spans="1:8" ht="32.25" thickBot="1">
      <c r="A115" s="36" t="s">
        <v>218</v>
      </c>
      <c r="B115" s="3" t="s">
        <v>219</v>
      </c>
      <c r="C115" s="37" t="s">
        <v>146</v>
      </c>
      <c r="D115" s="3"/>
      <c r="E115" s="3"/>
      <c r="F115" s="3"/>
      <c r="G115" s="3"/>
      <c r="H115" s="3"/>
    </row>
    <row r="116" spans="1:8" ht="48" thickBot="1">
      <c r="A116" s="36">
        <v>5.0999999999999996</v>
      </c>
      <c r="B116" s="38" t="s">
        <v>220</v>
      </c>
      <c r="C116" s="37" t="s">
        <v>146</v>
      </c>
      <c r="D116" s="3"/>
      <c r="E116" s="3"/>
      <c r="F116" s="3"/>
      <c r="G116" s="3"/>
      <c r="H116" s="3"/>
    </row>
    <row r="117" spans="1:8" ht="48" thickBot="1">
      <c r="A117" s="39">
        <v>36896</v>
      </c>
      <c r="B117" s="40" t="s">
        <v>148</v>
      </c>
      <c r="C117" s="37" t="s">
        <v>146</v>
      </c>
      <c r="D117" s="3"/>
      <c r="E117" s="3"/>
      <c r="F117" s="3"/>
      <c r="G117" s="3"/>
      <c r="H117" s="3"/>
    </row>
    <row r="118" spans="1:8" ht="48" thickBot="1">
      <c r="A118" s="39">
        <v>37261</v>
      </c>
      <c r="B118" s="40" t="s">
        <v>149</v>
      </c>
      <c r="C118" s="37" t="s">
        <v>146</v>
      </c>
      <c r="D118" s="3"/>
      <c r="E118" s="3"/>
      <c r="F118" s="3"/>
      <c r="G118" s="3"/>
      <c r="H118" s="3"/>
    </row>
    <row r="119" spans="1:8" ht="48" thickBot="1">
      <c r="A119" s="39">
        <v>37626</v>
      </c>
      <c r="B119" s="40" t="s">
        <v>150</v>
      </c>
      <c r="C119" s="37" t="s">
        <v>146</v>
      </c>
      <c r="D119" s="3"/>
      <c r="E119" s="3"/>
      <c r="F119" s="3"/>
      <c r="G119" s="3"/>
      <c r="H119" s="3"/>
    </row>
    <row r="120" spans="1:8" ht="32.25" thickBot="1">
      <c r="A120" s="36">
        <v>5.2</v>
      </c>
      <c r="B120" s="38" t="s">
        <v>151</v>
      </c>
      <c r="C120" s="37" t="s">
        <v>146</v>
      </c>
      <c r="D120" s="3"/>
      <c r="E120" s="3"/>
      <c r="F120" s="3"/>
      <c r="G120" s="3"/>
      <c r="H120" s="3"/>
    </row>
    <row r="121" spans="1:8" ht="32.25" thickBot="1">
      <c r="A121" s="36">
        <v>5.3</v>
      </c>
      <c r="B121" s="38" t="s">
        <v>152</v>
      </c>
      <c r="C121" s="37" t="s">
        <v>146</v>
      </c>
      <c r="D121" s="3"/>
      <c r="E121" s="3"/>
      <c r="F121" s="3"/>
      <c r="G121" s="3"/>
      <c r="H121" s="3"/>
    </row>
    <row r="122" spans="1:8" ht="32.25" thickBot="1">
      <c r="A122" s="36">
        <v>5.4</v>
      </c>
      <c r="B122" s="38" t="s">
        <v>153</v>
      </c>
      <c r="C122" s="37" t="s">
        <v>146</v>
      </c>
      <c r="D122" s="3"/>
      <c r="E122" s="3"/>
      <c r="F122" s="3"/>
      <c r="G122" s="3"/>
      <c r="H122" s="3"/>
    </row>
    <row r="123" spans="1:8" ht="32.25" thickBot="1">
      <c r="A123" s="36">
        <v>5.5</v>
      </c>
      <c r="B123" s="38" t="s">
        <v>154</v>
      </c>
      <c r="C123" s="37" t="s">
        <v>146</v>
      </c>
      <c r="D123" s="3"/>
      <c r="E123" s="3"/>
      <c r="F123" s="3"/>
      <c r="G123" s="3"/>
      <c r="H123" s="3"/>
    </row>
    <row r="124" spans="1:8" ht="32.25" thickBot="1">
      <c r="A124" s="36">
        <v>5.6</v>
      </c>
      <c r="B124" s="38" t="s">
        <v>155</v>
      </c>
      <c r="C124" s="37" t="s">
        <v>146</v>
      </c>
      <c r="D124" s="3"/>
      <c r="E124" s="3"/>
      <c r="F124" s="3"/>
      <c r="G124" s="3"/>
      <c r="H124" s="3"/>
    </row>
    <row r="125" spans="1:8" ht="32.25" thickBot="1">
      <c r="A125" s="36">
        <v>5.7</v>
      </c>
      <c r="B125" s="38" t="s">
        <v>156</v>
      </c>
      <c r="C125" s="37" t="s">
        <v>146</v>
      </c>
      <c r="D125" s="3"/>
      <c r="E125" s="3"/>
      <c r="F125" s="3"/>
      <c r="G125" s="3"/>
      <c r="H125" s="3"/>
    </row>
    <row r="126" spans="1:8" ht="48" thickBot="1">
      <c r="A126" s="36">
        <v>5.8</v>
      </c>
      <c r="B126" s="38" t="s">
        <v>157</v>
      </c>
      <c r="C126" s="37" t="s">
        <v>146</v>
      </c>
      <c r="D126" s="3"/>
      <c r="E126" s="3"/>
      <c r="F126" s="3"/>
      <c r="G126" s="3"/>
      <c r="H126" s="3"/>
    </row>
    <row r="127" spans="1:8" ht="32.25" thickBot="1">
      <c r="A127" s="39">
        <v>37108</v>
      </c>
      <c r="B127" s="40" t="s">
        <v>158</v>
      </c>
      <c r="C127" s="37" t="s">
        <v>146</v>
      </c>
      <c r="D127" s="3"/>
      <c r="E127" s="3"/>
      <c r="F127" s="3"/>
      <c r="G127" s="3"/>
      <c r="H127" s="3"/>
    </row>
    <row r="128" spans="1:8" ht="32.25" thickBot="1">
      <c r="A128" s="39">
        <v>37473</v>
      </c>
      <c r="B128" s="40" t="s">
        <v>159</v>
      </c>
      <c r="C128" s="37" t="s">
        <v>146</v>
      </c>
      <c r="D128" s="3"/>
      <c r="E128" s="3"/>
      <c r="F128" s="3"/>
      <c r="G128" s="3"/>
      <c r="H128" s="3"/>
    </row>
    <row r="129" spans="1:8" ht="32.25" thickBot="1">
      <c r="A129" s="36">
        <v>5.9</v>
      </c>
      <c r="B129" s="41" t="s">
        <v>160</v>
      </c>
      <c r="C129" s="37" t="s">
        <v>146</v>
      </c>
      <c r="D129" s="3"/>
      <c r="E129" s="3"/>
      <c r="F129" s="3"/>
      <c r="G129" s="3"/>
      <c r="H129" s="3"/>
    </row>
    <row r="130" spans="1:8" ht="32.25" thickBot="1">
      <c r="A130" s="36" t="s">
        <v>221</v>
      </c>
      <c r="B130" s="3" t="s">
        <v>222</v>
      </c>
      <c r="C130" s="37" t="s">
        <v>146</v>
      </c>
      <c r="D130" s="3"/>
      <c r="E130" s="3"/>
      <c r="F130" s="3"/>
      <c r="G130" s="3"/>
      <c r="H130" s="3"/>
    </row>
    <row r="131" spans="1:8" ht="32.25" thickBot="1">
      <c r="A131" s="36">
        <v>6.1</v>
      </c>
      <c r="B131" s="38" t="s">
        <v>147</v>
      </c>
      <c r="C131" s="37" t="s">
        <v>146</v>
      </c>
      <c r="D131" s="3"/>
      <c r="E131" s="3"/>
      <c r="F131" s="3"/>
      <c r="G131" s="3"/>
      <c r="H131" s="3"/>
    </row>
    <row r="132" spans="1:8" ht="48" thickBot="1">
      <c r="A132" s="39">
        <v>36897</v>
      </c>
      <c r="B132" s="40" t="s">
        <v>148</v>
      </c>
      <c r="C132" s="37" t="s">
        <v>146</v>
      </c>
      <c r="D132" s="3"/>
      <c r="E132" s="3"/>
      <c r="F132" s="3"/>
      <c r="G132" s="3"/>
      <c r="H132" s="3"/>
    </row>
    <row r="133" spans="1:8" ht="48" thickBot="1">
      <c r="A133" s="39">
        <v>37262</v>
      </c>
      <c r="B133" s="40" t="s">
        <v>149</v>
      </c>
      <c r="C133" s="37" t="s">
        <v>146</v>
      </c>
      <c r="D133" s="3"/>
      <c r="E133" s="3"/>
      <c r="F133" s="3"/>
      <c r="G133" s="3"/>
      <c r="H133" s="3"/>
    </row>
    <row r="134" spans="1:8" ht="48" thickBot="1">
      <c r="A134" s="39">
        <v>37627</v>
      </c>
      <c r="B134" s="40" t="s">
        <v>150</v>
      </c>
      <c r="C134" s="37" t="s">
        <v>146</v>
      </c>
      <c r="D134" s="3"/>
      <c r="E134" s="3"/>
      <c r="F134" s="3"/>
      <c r="G134" s="3"/>
      <c r="H134" s="3"/>
    </row>
    <row r="135" spans="1:8" ht="32.25" thickBot="1">
      <c r="A135" s="36">
        <v>6.2</v>
      </c>
      <c r="B135" s="38" t="s">
        <v>223</v>
      </c>
      <c r="C135" s="37" t="s">
        <v>146</v>
      </c>
      <c r="D135" s="3"/>
      <c r="E135" s="3"/>
      <c r="F135" s="3"/>
      <c r="G135" s="3"/>
      <c r="H135" s="3"/>
    </row>
    <row r="136" spans="1:8" ht="32.25" thickBot="1">
      <c r="A136" s="36">
        <v>6.3</v>
      </c>
      <c r="B136" s="38" t="s">
        <v>224</v>
      </c>
      <c r="C136" s="37" t="s">
        <v>146</v>
      </c>
      <c r="D136" s="3"/>
      <c r="E136" s="3"/>
      <c r="F136" s="3"/>
      <c r="G136" s="3"/>
      <c r="H136" s="3"/>
    </row>
    <row r="137" spans="1:8" ht="32.25" thickBot="1">
      <c r="A137" s="36">
        <v>6.4</v>
      </c>
      <c r="B137" s="38" t="s">
        <v>225</v>
      </c>
      <c r="C137" s="37" t="s">
        <v>146</v>
      </c>
      <c r="D137" s="3"/>
      <c r="E137" s="3"/>
      <c r="F137" s="3"/>
      <c r="G137" s="3"/>
      <c r="H137" s="3"/>
    </row>
    <row r="138" spans="1:8" ht="32.25" thickBot="1">
      <c r="A138" s="36">
        <v>6.5</v>
      </c>
      <c r="B138" s="38" t="s">
        <v>226</v>
      </c>
      <c r="C138" s="37" t="s">
        <v>146</v>
      </c>
      <c r="D138" s="3"/>
      <c r="E138" s="3"/>
      <c r="F138" s="3"/>
      <c r="G138" s="3"/>
      <c r="H138" s="3"/>
    </row>
    <row r="139" spans="1:8" ht="32.25" thickBot="1">
      <c r="A139" s="36">
        <v>6.6</v>
      </c>
      <c r="B139" s="38" t="s">
        <v>227</v>
      </c>
      <c r="C139" s="37" t="s">
        <v>146</v>
      </c>
      <c r="D139" s="3"/>
      <c r="E139" s="3"/>
      <c r="F139" s="3"/>
      <c r="G139" s="3"/>
      <c r="H139" s="3"/>
    </row>
    <row r="140" spans="1:8" ht="32.25" thickBot="1">
      <c r="A140" s="36">
        <v>6.7</v>
      </c>
      <c r="B140" s="38" t="s">
        <v>228</v>
      </c>
      <c r="C140" s="37" t="s">
        <v>146</v>
      </c>
      <c r="D140" s="3"/>
      <c r="E140" s="3"/>
      <c r="F140" s="3"/>
      <c r="G140" s="3"/>
      <c r="H140" s="3"/>
    </row>
    <row r="141" spans="1:8" ht="48" thickBot="1">
      <c r="A141" s="36">
        <v>6.8</v>
      </c>
      <c r="B141" s="38" t="s">
        <v>157</v>
      </c>
      <c r="C141" s="37" t="s">
        <v>146</v>
      </c>
      <c r="D141" s="3"/>
      <c r="E141" s="3"/>
      <c r="F141" s="3"/>
      <c r="G141" s="3"/>
      <c r="H141" s="3"/>
    </row>
    <row r="142" spans="1:8" ht="32.25" thickBot="1">
      <c r="A142" s="39">
        <v>37109</v>
      </c>
      <c r="B142" s="40" t="s">
        <v>158</v>
      </c>
      <c r="C142" s="37" t="s">
        <v>146</v>
      </c>
      <c r="D142" s="3"/>
      <c r="E142" s="3"/>
      <c r="F142" s="3"/>
      <c r="G142" s="3"/>
      <c r="H142" s="3"/>
    </row>
    <row r="143" spans="1:8" ht="32.25" thickBot="1">
      <c r="A143" s="39">
        <v>37474</v>
      </c>
      <c r="B143" s="40" t="s">
        <v>159</v>
      </c>
      <c r="C143" s="37" t="s">
        <v>146</v>
      </c>
      <c r="D143" s="3"/>
      <c r="E143" s="3"/>
      <c r="F143" s="3"/>
      <c r="G143" s="3"/>
      <c r="H143" s="3"/>
    </row>
    <row r="144" spans="1:8" ht="32.25" thickBot="1">
      <c r="A144" s="36">
        <v>6.9</v>
      </c>
      <c r="B144" s="41" t="s">
        <v>229</v>
      </c>
      <c r="C144" s="37" t="s">
        <v>146</v>
      </c>
      <c r="D144" s="3"/>
      <c r="E144" s="3"/>
      <c r="F144" s="3"/>
      <c r="G144" s="3"/>
      <c r="H144" s="3"/>
    </row>
    <row r="145" spans="1:8" ht="32.25" thickBot="1">
      <c r="A145" s="36" t="s">
        <v>230</v>
      </c>
      <c r="B145" s="3" t="s">
        <v>231</v>
      </c>
      <c r="C145" s="37" t="s">
        <v>146</v>
      </c>
      <c r="D145" s="3"/>
      <c r="E145" s="3"/>
      <c r="F145" s="3"/>
      <c r="G145" s="3"/>
      <c r="H145" s="3"/>
    </row>
    <row r="146" spans="1:8" ht="32.25" thickBot="1">
      <c r="A146" s="36">
        <v>7.1</v>
      </c>
      <c r="B146" s="38" t="s">
        <v>147</v>
      </c>
      <c r="C146" s="37" t="s">
        <v>146</v>
      </c>
      <c r="D146" s="3"/>
      <c r="E146" s="3"/>
      <c r="F146" s="3"/>
      <c r="G146" s="3"/>
      <c r="H146" s="3"/>
    </row>
    <row r="147" spans="1:8" ht="48" thickBot="1">
      <c r="A147" s="39">
        <v>36898</v>
      </c>
      <c r="B147" s="40" t="s">
        <v>148</v>
      </c>
      <c r="C147" s="37" t="s">
        <v>146</v>
      </c>
      <c r="D147" s="3"/>
      <c r="E147" s="3"/>
      <c r="F147" s="3"/>
      <c r="G147" s="3"/>
      <c r="H147" s="3"/>
    </row>
    <row r="148" spans="1:8" ht="48" thickBot="1">
      <c r="A148" s="39">
        <v>37263</v>
      </c>
      <c r="B148" s="40" t="s">
        <v>149</v>
      </c>
      <c r="C148" s="37" t="s">
        <v>146</v>
      </c>
      <c r="D148" s="3"/>
      <c r="E148" s="3"/>
      <c r="F148" s="3"/>
      <c r="G148" s="3"/>
      <c r="H148" s="3"/>
    </row>
    <row r="149" spans="1:8" ht="48" thickBot="1">
      <c r="A149" s="39">
        <v>37628</v>
      </c>
      <c r="B149" s="40" t="s">
        <v>150</v>
      </c>
      <c r="C149" s="37" t="s">
        <v>146</v>
      </c>
      <c r="D149" s="3"/>
      <c r="E149" s="3"/>
      <c r="F149" s="3"/>
      <c r="G149" s="3"/>
      <c r="H149" s="3"/>
    </row>
    <row r="150" spans="1:8" ht="32.25" thickBot="1">
      <c r="A150" s="36">
        <v>7.2</v>
      </c>
      <c r="B150" s="38" t="s">
        <v>151</v>
      </c>
      <c r="C150" s="37" t="s">
        <v>146</v>
      </c>
      <c r="D150" s="3"/>
      <c r="E150" s="3"/>
      <c r="F150" s="3"/>
      <c r="G150" s="3"/>
      <c r="H150" s="3"/>
    </row>
    <row r="151" spans="1:8" ht="32.25" thickBot="1">
      <c r="A151" s="36">
        <v>7.3</v>
      </c>
      <c r="B151" s="38" t="s">
        <v>152</v>
      </c>
      <c r="C151" s="37" t="s">
        <v>146</v>
      </c>
      <c r="D151" s="3"/>
      <c r="E151" s="3"/>
      <c r="F151" s="3"/>
      <c r="G151" s="3"/>
      <c r="H151" s="3"/>
    </row>
    <row r="152" spans="1:8" ht="32.25" thickBot="1">
      <c r="A152" s="36">
        <v>7.4</v>
      </c>
      <c r="B152" s="38" t="s">
        <v>153</v>
      </c>
      <c r="C152" s="37" t="s">
        <v>146</v>
      </c>
      <c r="D152" s="3"/>
      <c r="E152" s="3"/>
      <c r="F152" s="3"/>
      <c r="G152" s="3"/>
      <c r="H152" s="3"/>
    </row>
    <row r="153" spans="1:8" ht="32.25" thickBot="1">
      <c r="A153" s="36">
        <v>7.5</v>
      </c>
      <c r="B153" s="38" t="s">
        <v>154</v>
      </c>
      <c r="C153" s="37" t="s">
        <v>146</v>
      </c>
      <c r="D153" s="3"/>
      <c r="E153" s="3"/>
      <c r="F153" s="3"/>
      <c r="G153" s="3"/>
      <c r="H153" s="3"/>
    </row>
    <row r="154" spans="1:8" ht="32.25" thickBot="1">
      <c r="A154" s="36">
        <v>7.6</v>
      </c>
      <c r="B154" s="38" t="s">
        <v>155</v>
      </c>
      <c r="C154" s="37" t="s">
        <v>146</v>
      </c>
      <c r="D154" s="3"/>
      <c r="E154" s="3"/>
      <c r="F154" s="3"/>
      <c r="G154" s="3"/>
      <c r="H154" s="3"/>
    </row>
    <row r="155" spans="1:8" ht="32.25" thickBot="1">
      <c r="A155" s="36">
        <v>7.7</v>
      </c>
      <c r="B155" s="38" t="s">
        <v>156</v>
      </c>
      <c r="C155" s="37" t="s">
        <v>146</v>
      </c>
      <c r="D155" s="3"/>
      <c r="E155" s="3"/>
      <c r="F155" s="3"/>
      <c r="G155" s="3"/>
      <c r="H155" s="3"/>
    </row>
    <row r="156" spans="1:8" ht="48" thickBot="1">
      <c r="A156" s="36">
        <v>7.8</v>
      </c>
      <c r="B156" s="38" t="s">
        <v>157</v>
      </c>
      <c r="C156" s="37" t="s">
        <v>146</v>
      </c>
      <c r="D156" s="3"/>
      <c r="E156" s="3"/>
      <c r="F156" s="3"/>
      <c r="G156" s="3"/>
      <c r="H156" s="3"/>
    </row>
    <row r="157" spans="1:8" ht="32.25" thickBot="1">
      <c r="A157" s="39">
        <v>37110</v>
      </c>
      <c r="B157" s="40" t="s">
        <v>158</v>
      </c>
      <c r="C157" s="37" t="s">
        <v>146</v>
      </c>
      <c r="D157" s="3"/>
      <c r="E157" s="3"/>
      <c r="F157" s="3"/>
      <c r="G157" s="3"/>
      <c r="H157" s="3"/>
    </row>
    <row r="158" spans="1:8" ht="32.25" thickBot="1">
      <c r="A158" s="39">
        <v>37475</v>
      </c>
      <c r="B158" s="40" t="s">
        <v>159</v>
      </c>
      <c r="C158" s="37" t="s">
        <v>146</v>
      </c>
      <c r="D158" s="3"/>
      <c r="E158" s="3"/>
      <c r="F158" s="3"/>
      <c r="G158" s="3"/>
      <c r="H158" s="3"/>
    </row>
    <row r="159" spans="1:8" ht="32.25" thickBot="1">
      <c r="A159" s="36">
        <v>7.9</v>
      </c>
      <c r="B159" s="41" t="s">
        <v>160</v>
      </c>
      <c r="C159" s="37" t="s">
        <v>146</v>
      </c>
      <c r="D159" s="3"/>
      <c r="E159" s="3"/>
      <c r="F159" s="3"/>
      <c r="G159" s="3"/>
      <c r="H159" s="3"/>
    </row>
    <row r="160" spans="1:8" ht="32.25" thickBot="1">
      <c r="A160" s="36" t="s">
        <v>232</v>
      </c>
      <c r="B160" s="3" t="s">
        <v>233</v>
      </c>
      <c r="C160" s="37" t="s">
        <v>146</v>
      </c>
      <c r="D160" s="3"/>
      <c r="E160" s="3"/>
      <c r="F160" s="3"/>
      <c r="G160" s="3"/>
      <c r="H160" s="3"/>
    </row>
    <row r="161" spans="1:8" ht="32.25" thickBot="1">
      <c r="A161" s="39">
        <v>37636</v>
      </c>
      <c r="B161" s="40" t="s">
        <v>234</v>
      </c>
      <c r="C161" s="37" t="s">
        <v>146</v>
      </c>
      <c r="D161" s="3"/>
      <c r="E161" s="3"/>
      <c r="F161" s="3"/>
      <c r="G161" s="3"/>
      <c r="H161" s="3"/>
    </row>
    <row r="162" spans="1:8" ht="32.25" thickBot="1">
      <c r="A162" s="36">
        <v>15.2</v>
      </c>
      <c r="B162" s="41" t="s">
        <v>235</v>
      </c>
      <c r="C162" s="37" t="s">
        <v>146</v>
      </c>
      <c r="D162" s="3"/>
      <c r="E162" s="3"/>
      <c r="F162" s="3"/>
      <c r="G162" s="3"/>
      <c r="H162" s="3"/>
    </row>
    <row r="163" spans="1:8" ht="32.25" thickBot="1">
      <c r="A163" s="36">
        <v>15.3</v>
      </c>
      <c r="B163" s="38" t="s">
        <v>236</v>
      </c>
      <c r="C163" s="37" t="s">
        <v>146</v>
      </c>
      <c r="D163" s="3"/>
      <c r="E163" s="3"/>
      <c r="F163" s="3"/>
      <c r="G163" s="3"/>
      <c r="H163" s="3"/>
    </row>
    <row r="164" spans="1:8" ht="48" thickBot="1">
      <c r="A164" s="36" t="s">
        <v>237</v>
      </c>
      <c r="B164" s="3" t="s">
        <v>238</v>
      </c>
      <c r="C164" s="37" t="s">
        <v>146</v>
      </c>
      <c r="D164" s="3"/>
      <c r="E164" s="3"/>
      <c r="F164" s="3"/>
      <c r="G164" s="3"/>
      <c r="H164" s="3"/>
    </row>
    <row r="165" spans="1:8" ht="48" thickBot="1">
      <c r="A165" s="36" t="s">
        <v>239</v>
      </c>
      <c r="B165" s="3" t="s">
        <v>240</v>
      </c>
      <c r="C165" s="37" t="s">
        <v>146</v>
      </c>
      <c r="D165" s="3"/>
      <c r="E165" s="3"/>
      <c r="F165" s="3"/>
      <c r="G165" s="3"/>
      <c r="H165" s="3"/>
    </row>
    <row r="166" spans="1:8" ht="32.25" thickBot="1">
      <c r="A166" s="36">
        <v>17.100000000000001</v>
      </c>
      <c r="B166" s="38" t="s">
        <v>241</v>
      </c>
      <c r="C166" s="37" t="s">
        <v>146</v>
      </c>
      <c r="D166" s="3"/>
      <c r="E166" s="3"/>
      <c r="F166" s="3"/>
      <c r="G166" s="3"/>
      <c r="H166" s="3"/>
    </row>
    <row r="167" spans="1:8" ht="32.25" thickBot="1">
      <c r="A167" s="36">
        <v>17.2</v>
      </c>
      <c r="B167" s="38" t="s">
        <v>242</v>
      </c>
      <c r="C167" s="37" t="s">
        <v>146</v>
      </c>
      <c r="D167" s="3"/>
      <c r="E167" s="3"/>
      <c r="F167" s="3"/>
      <c r="G167" s="3"/>
      <c r="H167" s="3"/>
    </row>
    <row r="168" spans="1:8" ht="48" thickBot="1">
      <c r="A168" s="36" t="s">
        <v>243</v>
      </c>
      <c r="B168" s="3" t="s">
        <v>244</v>
      </c>
      <c r="C168" s="37" t="s">
        <v>146</v>
      </c>
      <c r="D168" s="3"/>
      <c r="E168" s="3"/>
      <c r="F168" s="3"/>
      <c r="G168" s="3"/>
      <c r="H168" s="3"/>
    </row>
    <row r="169" spans="1:8" ht="32.25" thickBot="1">
      <c r="A169" s="36">
        <v>18.100000000000001</v>
      </c>
      <c r="B169" s="38" t="s">
        <v>245</v>
      </c>
      <c r="C169" s="37" t="s">
        <v>146</v>
      </c>
      <c r="D169" s="3"/>
      <c r="E169" s="3"/>
      <c r="F169" s="3"/>
      <c r="G169" s="3"/>
      <c r="H169" s="3"/>
    </row>
    <row r="170" spans="1:8" ht="32.25" thickBot="1">
      <c r="A170" s="36">
        <v>18.2</v>
      </c>
      <c r="B170" s="38" t="s">
        <v>246</v>
      </c>
      <c r="C170" s="37" t="s">
        <v>146</v>
      </c>
      <c r="D170" s="3"/>
      <c r="E170" s="3"/>
      <c r="F170" s="3"/>
      <c r="G170" s="3"/>
      <c r="H170" s="3"/>
    </row>
    <row r="171" spans="1:8" ht="32.25" thickBot="1">
      <c r="A171" s="36" t="s">
        <v>247</v>
      </c>
      <c r="B171" s="3" t="s">
        <v>248</v>
      </c>
      <c r="C171" s="37" t="s">
        <v>146</v>
      </c>
      <c r="D171" s="3"/>
      <c r="E171" s="3"/>
      <c r="F171" s="3"/>
      <c r="G171" s="3"/>
      <c r="H171" s="3"/>
    </row>
    <row r="172" spans="1:8" ht="32.25" thickBot="1">
      <c r="A172" s="36" t="s">
        <v>249</v>
      </c>
      <c r="B172" s="3" t="s">
        <v>250</v>
      </c>
      <c r="C172" s="37" t="s">
        <v>146</v>
      </c>
      <c r="D172" s="3"/>
      <c r="E172" s="3"/>
      <c r="F172" s="3"/>
      <c r="G172" s="3"/>
      <c r="H172" s="3"/>
    </row>
    <row r="173" spans="1:8" ht="32.25" thickBot="1">
      <c r="A173" s="36" t="s">
        <v>251</v>
      </c>
      <c r="B173" s="3" t="s">
        <v>252</v>
      </c>
      <c r="C173" s="37" t="s">
        <v>146</v>
      </c>
      <c r="D173" s="3"/>
      <c r="E173" s="3"/>
      <c r="F173" s="3"/>
      <c r="G173" s="3"/>
      <c r="H173" s="3"/>
    </row>
    <row r="174" spans="1:8" ht="32.25" thickBot="1">
      <c r="A174" s="36" t="s">
        <v>253</v>
      </c>
      <c r="B174" s="3" t="s">
        <v>254</v>
      </c>
      <c r="C174" s="37" t="s">
        <v>146</v>
      </c>
      <c r="D174" s="3"/>
      <c r="E174" s="3"/>
      <c r="F174" s="3"/>
      <c r="G174" s="3"/>
      <c r="H174" s="3"/>
    </row>
    <row r="175" spans="1:8" ht="16.5" thickBot="1">
      <c r="A175" s="36" t="s">
        <v>255</v>
      </c>
      <c r="B175" s="3" t="s">
        <v>198</v>
      </c>
      <c r="C175" s="37" t="s">
        <v>256</v>
      </c>
      <c r="D175" s="3"/>
      <c r="E175" s="3"/>
      <c r="F175" s="3"/>
      <c r="G175" s="3"/>
      <c r="H175" s="3"/>
    </row>
    <row r="176" spans="1:8" ht="32.25" thickBot="1">
      <c r="A176" s="36">
        <v>23.1</v>
      </c>
      <c r="B176" s="38" t="s">
        <v>257</v>
      </c>
      <c r="C176" s="37" t="s">
        <v>146</v>
      </c>
      <c r="D176" s="3"/>
      <c r="E176" s="3"/>
      <c r="F176" s="3"/>
      <c r="G176" s="3"/>
      <c r="H176" s="3"/>
    </row>
    <row r="177" spans="1:8" ht="32.25" thickBot="1">
      <c r="A177" s="39">
        <v>36914</v>
      </c>
      <c r="B177" s="40" t="s">
        <v>258</v>
      </c>
      <c r="C177" s="37" t="s">
        <v>146</v>
      </c>
      <c r="D177" s="3"/>
      <c r="E177" s="3"/>
      <c r="F177" s="3"/>
      <c r="G177" s="3"/>
      <c r="H177" s="3"/>
    </row>
    <row r="178" spans="1:8" ht="32.25" thickBot="1">
      <c r="A178" s="36" t="s">
        <v>259</v>
      </c>
      <c r="B178" s="42" t="s">
        <v>260</v>
      </c>
      <c r="C178" s="37" t="s">
        <v>146</v>
      </c>
      <c r="D178" s="3"/>
      <c r="E178" s="3"/>
      <c r="F178" s="3"/>
      <c r="G178" s="3"/>
      <c r="H178" s="3"/>
    </row>
    <row r="179" spans="1:8" ht="63.75" thickBot="1">
      <c r="A179" s="36" t="s">
        <v>261</v>
      </c>
      <c r="B179" s="42" t="s">
        <v>148</v>
      </c>
      <c r="C179" s="37" t="s">
        <v>146</v>
      </c>
      <c r="D179" s="3"/>
      <c r="E179" s="3"/>
      <c r="F179" s="3"/>
      <c r="G179" s="3"/>
      <c r="H179" s="3"/>
    </row>
    <row r="180" spans="1:8" ht="32.25" thickBot="1">
      <c r="A180" s="36" t="s">
        <v>262</v>
      </c>
      <c r="B180" s="43" t="s">
        <v>260</v>
      </c>
      <c r="C180" s="37" t="s">
        <v>146</v>
      </c>
      <c r="D180" s="3"/>
      <c r="E180" s="3"/>
      <c r="F180" s="3"/>
      <c r="G180" s="3"/>
      <c r="H180" s="3"/>
    </row>
    <row r="181" spans="1:8" ht="63.75" thickBot="1">
      <c r="A181" s="36" t="s">
        <v>263</v>
      </c>
      <c r="B181" s="42" t="s">
        <v>149</v>
      </c>
      <c r="C181" s="37" t="s">
        <v>146</v>
      </c>
      <c r="D181" s="3"/>
      <c r="E181" s="3"/>
      <c r="F181" s="3"/>
      <c r="G181" s="3"/>
      <c r="H181" s="3"/>
    </row>
    <row r="182" spans="1:8" ht="32.25" thickBot="1">
      <c r="A182" s="36" t="s">
        <v>264</v>
      </c>
      <c r="B182" s="43" t="s">
        <v>260</v>
      </c>
      <c r="C182" s="37" t="s">
        <v>146</v>
      </c>
      <c r="D182" s="3"/>
      <c r="E182" s="3"/>
      <c r="F182" s="3"/>
      <c r="G182" s="3"/>
      <c r="H182" s="3"/>
    </row>
    <row r="183" spans="1:8" ht="63.75" thickBot="1">
      <c r="A183" s="36" t="s">
        <v>265</v>
      </c>
      <c r="B183" s="42" t="s">
        <v>150</v>
      </c>
      <c r="C183" s="37" t="s">
        <v>146</v>
      </c>
      <c r="D183" s="3"/>
      <c r="E183" s="3"/>
      <c r="F183" s="3"/>
      <c r="G183" s="3"/>
      <c r="H183" s="3"/>
    </row>
    <row r="184" spans="1:8" ht="32.25" thickBot="1">
      <c r="A184" s="36" t="s">
        <v>266</v>
      </c>
      <c r="B184" s="43" t="s">
        <v>260</v>
      </c>
      <c r="C184" s="37" t="s">
        <v>146</v>
      </c>
      <c r="D184" s="3"/>
      <c r="E184" s="3"/>
      <c r="F184" s="3"/>
      <c r="G184" s="3"/>
      <c r="H184" s="3"/>
    </row>
    <row r="185" spans="1:8" ht="32.25" thickBot="1">
      <c r="A185" s="39">
        <v>37279</v>
      </c>
      <c r="B185" s="40" t="s">
        <v>267</v>
      </c>
      <c r="C185" s="37" t="s">
        <v>146</v>
      </c>
      <c r="D185" s="3"/>
      <c r="E185" s="3"/>
      <c r="F185" s="3"/>
      <c r="G185" s="3"/>
      <c r="H185" s="3"/>
    </row>
    <row r="186" spans="1:8" ht="32.25" thickBot="1">
      <c r="A186" s="36" t="s">
        <v>268</v>
      </c>
      <c r="B186" s="42" t="s">
        <v>260</v>
      </c>
      <c r="C186" s="37" t="s">
        <v>146</v>
      </c>
      <c r="D186" s="3"/>
      <c r="E186" s="3"/>
      <c r="F186" s="3"/>
      <c r="G186" s="3"/>
      <c r="H186" s="3"/>
    </row>
    <row r="187" spans="1:8" ht="32.25" thickBot="1">
      <c r="A187" s="39">
        <v>37644</v>
      </c>
      <c r="B187" s="40" t="s">
        <v>269</v>
      </c>
      <c r="C187" s="37" t="s">
        <v>146</v>
      </c>
      <c r="D187" s="3"/>
      <c r="E187" s="3"/>
      <c r="F187" s="3"/>
      <c r="G187" s="3"/>
      <c r="H187" s="3"/>
    </row>
    <row r="188" spans="1:8" ht="32.25" thickBot="1">
      <c r="A188" s="36" t="s">
        <v>270</v>
      </c>
      <c r="B188" s="42" t="s">
        <v>260</v>
      </c>
      <c r="C188" s="37" t="s">
        <v>146</v>
      </c>
      <c r="D188" s="3"/>
      <c r="E188" s="3"/>
      <c r="F188" s="3"/>
      <c r="G188" s="3"/>
      <c r="H188" s="3"/>
    </row>
    <row r="189" spans="1:8" ht="32.25" thickBot="1">
      <c r="A189" s="39">
        <v>38009</v>
      </c>
      <c r="B189" s="40" t="s">
        <v>271</v>
      </c>
      <c r="C189" s="37" t="s">
        <v>146</v>
      </c>
      <c r="D189" s="3"/>
      <c r="E189" s="3"/>
      <c r="F189" s="3"/>
      <c r="G189" s="3"/>
      <c r="H189" s="3"/>
    </row>
    <row r="190" spans="1:8" ht="32.25" thickBot="1">
      <c r="A190" s="36" t="s">
        <v>272</v>
      </c>
      <c r="B190" s="42" t="s">
        <v>260</v>
      </c>
      <c r="C190" s="37" t="s">
        <v>146</v>
      </c>
      <c r="D190" s="3"/>
      <c r="E190" s="3"/>
      <c r="F190" s="3"/>
      <c r="G190" s="3"/>
      <c r="H190" s="3"/>
    </row>
    <row r="191" spans="1:8" ht="32.25" thickBot="1">
      <c r="A191" s="39">
        <v>38375</v>
      </c>
      <c r="B191" s="40" t="s">
        <v>273</v>
      </c>
      <c r="C191" s="37" t="s">
        <v>146</v>
      </c>
      <c r="D191" s="3"/>
      <c r="E191" s="3"/>
      <c r="F191" s="3"/>
      <c r="G191" s="3"/>
      <c r="H191" s="3"/>
    </row>
    <row r="192" spans="1:8" ht="32.25" thickBot="1">
      <c r="A192" s="36" t="s">
        <v>274</v>
      </c>
      <c r="B192" s="42" t="s">
        <v>260</v>
      </c>
      <c r="C192" s="37" t="s">
        <v>146</v>
      </c>
      <c r="D192" s="3"/>
      <c r="E192" s="3"/>
      <c r="F192" s="3"/>
      <c r="G192" s="3"/>
      <c r="H192" s="3"/>
    </row>
    <row r="193" spans="1:8" ht="32.25" thickBot="1">
      <c r="A193" s="39">
        <v>39105</v>
      </c>
      <c r="B193" s="40" t="s">
        <v>275</v>
      </c>
      <c r="C193" s="37" t="s">
        <v>146</v>
      </c>
      <c r="D193" s="3"/>
      <c r="E193" s="3"/>
      <c r="F193" s="3"/>
      <c r="G193" s="3"/>
      <c r="H193" s="3"/>
    </row>
    <row r="194" spans="1:8" ht="32.25" thickBot="1">
      <c r="A194" s="36" t="s">
        <v>276</v>
      </c>
      <c r="B194" s="42" t="s">
        <v>260</v>
      </c>
      <c r="C194" s="37" t="s">
        <v>146</v>
      </c>
      <c r="D194" s="3"/>
      <c r="E194" s="3"/>
      <c r="F194" s="3"/>
      <c r="G194" s="3"/>
      <c r="H194" s="3"/>
    </row>
    <row r="195" spans="1:8" ht="32.25" thickBot="1">
      <c r="A195" s="39">
        <v>39105</v>
      </c>
      <c r="B195" s="40" t="s">
        <v>277</v>
      </c>
      <c r="C195" s="37" t="s">
        <v>146</v>
      </c>
      <c r="D195" s="3"/>
      <c r="E195" s="3"/>
      <c r="F195" s="3"/>
      <c r="G195" s="3"/>
      <c r="H195" s="3"/>
    </row>
    <row r="196" spans="1:8" ht="32.25" thickBot="1">
      <c r="A196" s="36" t="s">
        <v>278</v>
      </c>
      <c r="B196" s="42" t="s">
        <v>260</v>
      </c>
      <c r="C196" s="37" t="s">
        <v>146</v>
      </c>
      <c r="D196" s="3"/>
      <c r="E196" s="3"/>
      <c r="F196" s="3"/>
      <c r="G196" s="3"/>
      <c r="H196" s="3"/>
    </row>
    <row r="197" spans="1:8" ht="48" thickBot="1">
      <c r="A197" s="39">
        <v>39470</v>
      </c>
      <c r="B197" s="40" t="s">
        <v>279</v>
      </c>
      <c r="C197" s="37" t="s">
        <v>146</v>
      </c>
      <c r="D197" s="3"/>
      <c r="E197" s="3"/>
      <c r="F197" s="3"/>
      <c r="G197" s="3"/>
      <c r="H197" s="3"/>
    </row>
    <row r="198" spans="1:8" ht="32.25" thickBot="1">
      <c r="A198" s="36" t="s">
        <v>280</v>
      </c>
      <c r="B198" s="42" t="s">
        <v>260</v>
      </c>
      <c r="C198" s="37" t="s">
        <v>146</v>
      </c>
      <c r="D198" s="3"/>
      <c r="E198" s="3"/>
      <c r="F198" s="3"/>
      <c r="G198" s="3"/>
      <c r="H198" s="3"/>
    </row>
    <row r="199" spans="1:8" ht="32.25" thickBot="1">
      <c r="A199" s="36" t="s">
        <v>281</v>
      </c>
      <c r="B199" s="42" t="s">
        <v>158</v>
      </c>
      <c r="C199" s="37" t="s">
        <v>146</v>
      </c>
      <c r="D199" s="3"/>
      <c r="E199" s="3"/>
      <c r="F199" s="3"/>
      <c r="G199" s="3"/>
      <c r="H199" s="3"/>
    </row>
    <row r="200" spans="1:8" ht="32.25" thickBot="1">
      <c r="A200" s="36" t="s">
        <v>282</v>
      </c>
      <c r="B200" s="43" t="s">
        <v>260</v>
      </c>
      <c r="C200" s="37" t="s">
        <v>146</v>
      </c>
      <c r="D200" s="3"/>
      <c r="E200" s="3"/>
      <c r="F200" s="3"/>
      <c r="G200" s="3"/>
      <c r="H200" s="3"/>
    </row>
    <row r="201" spans="1:8" ht="32.25" thickBot="1">
      <c r="A201" s="36" t="s">
        <v>283</v>
      </c>
      <c r="B201" s="42" t="s">
        <v>159</v>
      </c>
      <c r="C201" s="37" t="s">
        <v>146</v>
      </c>
      <c r="D201" s="3"/>
      <c r="E201" s="3"/>
      <c r="F201" s="3"/>
      <c r="G201" s="3"/>
      <c r="H201" s="3"/>
    </row>
    <row r="202" spans="1:8" ht="32.25" thickBot="1">
      <c r="A202" s="36" t="s">
        <v>284</v>
      </c>
      <c r="B202" s="43" t="s">
        <v>260</v>
      </c>
      <c r="C202" s="37" t="s">
        <v>146</v>
      </c>
      <c r="D202" s="3"/>
      <c r="E202" s="3"/>
      <c r="F202" s="3"/>
      <c r="G202" s="3"/>
      <c r="H202" s="3"/>
    </row>
    <row r="203" spans="1:8" ht="32.25" thickBot="1">
      <c r="A203" s="39">
        <v>39836</v>
      </c>
      <c r="B203" s="40" t="s">
        <v>285</v>
      </c>
      <c r="C203" s="37" t="s">
        <v>146</v>
      </c>
      <c r="D203" s="3"/>
      <c r="E203" s="3"/>
      <c r="F203" s="3"/>
      <c r="G203" s="3"/>
      <c r="H203" s="3"/>
    </row>
    <row r="204" spans="1:8" ht="32.25" thickBot="1">
      <c r="A204" s="36" t="s">
        <v>286</v>
      </c>
      <c r="B204" s="42" t="s">
        <v>260</v>
      </c>
      <c r="C204" s="37" t="s">
        <v>146</v>
      </c>
      <c r="D204" s="3"/>
      <c r="E204" s="3"/>
      <c r="F204" s="3"/>
      <c r="G204" s="3"/>
      <c r="H204" s="3"/>
    </row>
    <row r="205" spans="1:8" ht="32.25" thickBot="1">
      <c r="A205" s="36">
        <v>23.2</v>
      </c>
      <c r="B205" s="38" t="s">
        <v>287</v>
      </c>
      <c r="C205" s="37" t="s">
        <v>146</v>
      </c>
      <c r="D205" s="3"/>
      <c r="E205" s="3"/>
      <c r="F205" s="3"/>
      <c r="G205" s="3"/>
      <c r="H205" s="3"/>
    </row>
    <row r="206" spans="1:8" ht="32.25" thickBot="1">
      <c r="A206" s="39">
        <v>36945</v>
      </c>
      <c r="B206" s="40" t="s">
        <v>288</v>
      </c>
      <c r="C206" s="37" t="s">
        <v>146</v>
      </c>
      <c r="D206" s="3"/>
      <c r="E206" s="3"/>
      <c r="F206" s="3"/>
      <c r="G206" s="3"/>
      <c r="H206" s="3"/>
    </row>
    <row r="207" spans="1:8" ht="32.25" thickBot="1">
      <c r="A207" s="36" t="s">
        <v>289</v>
      </c>
      <c r="B207" s="42" t="s">
        <v>260</v>
      </c>
      <c r="C207" s="37" t="s">
        <v>146</v>
      </c>
      <c r="D207" s="3"/>
      <c r="E207" s="3"/>
      <c r="F207" s="3"/>
      <c r="G207" s="3"/>
      <c r="H207" s="3"/>
    </row>
    <row r="208" spans="1:8" ht="32.25" thickBot="1">
      <c r="A208" s="39">
        <v>37310</v>
      </c>
      <c r="B208" s="40" t="s">
        <v>290</v>
      </c>
      <c r="C208" s="37" t="s">
        <v>146</v>
      </c>
      <c r="D208" s="3"/>
      <c r="E208" s="3"/>
      <c r="F208" s="3"/>
      <c r="G208" s="3"/>
      <c r="H208" s="3"/>
    </row>
    <row r="209" spans="1:8" ht="32.25" thickBot="1">
      <c r="A209" s="36" t="s">
        <v>291</v>
      </c>
      <c r="B209" s="42" t="s">
        <v>292</v>
      </c>
      <c r="C209" s="37" t="s">
        <v>146</v>
      </c>
      <c r="D209" s="3"/>
      <c r="E209" s="3"/>
      <c r="F209" s="3"/>
      <c r="G209" s="3"/>
      <c r="H209" s="3"/>
    </row>
    <row r="210" spans="1:8" ht="32.25" thickBot="1">
      <c r="A210" s="36" t="s">
        <v>293</v>
      </c>
      <c r="B210" s="43" t="s">
        <v>260</v>
      </c>
      <c r="C210" s="37" t="s">
        <v>146</v>
      </c>
      <c r="D210" s="3"/>
      <c r="E210" s="3"/>
      <c r="F210" s="3"/>
      <c r="G210" s="3"/>
      <c r="H210" s="3"/>
    </row>
    <row r="211" spans="1:8" ht="32.25" thickBot="1">
      <c r="A211" s="36" t="s">
        <v>294</v>
      </c>
      <c r="B211" s="42" t="s">
        <v>295</v>
      </c>
      <c r="C211" s="37" t="s">
        <v>146</v>
      </c>
      <c r="D211" s="3"/>
      <c r="E211" s="3"/>
      <c r="F211" s="3"/>
      <c r="G211" s="3"/>
      <c r="H211" s="3"/>
    </row>
    <row r="212" spans="1:8" ht="32.25" thickBot="1">
      <c r="A212" s="36" t="s">
        <v>296</v>
      </c>
      <c r="B212" s="43" t="s">
        <v>260</v>
      </c>
      <c r="C212" s="37" t="s">
        <v>146</v>
      </c>
      <c r="D212" s="3"/>
      <c r="E212" s="3"/>
      <c r="F212" s="3"/>
      <c r="G212" s="3"/>
      <c r="H212" s="3"/>
    </row>
    <row r="213" spans="1:8" ht="63.75" thickBot="1">
      <c r="A213" s="39">
        <v>37675</v>
      </c>
      <c r="B213" s="40" t="s">
        <v>297</v>
      </c>
      <c r="C213" s="37" t="s">
        <v>146</v>
      </c>
      <c r="D213" s="3"/>
      <c r="E213" s="3"/>
      <c r="F213" s="3"/>
      <c r="G213" s="3"/>
      <c r="H213" s="3"/>
    </row>
    <row r="214" spans="1:8" ht="32.25" thickBot="1">
      <c r="A214" s="36" t="s">
        <v>298</v>
      </c>
      <c r="B214" s="42" t="s">
        <v>260</v>
      </c>
      <c r="C214" s="37" t="s">
        <v>146</v>
      </c>
      <c r="D214" s="3"/>
      <c r="E214" s="3"/>
      <c r="F214" s="3"/>
      <c r="G214" s="3"/>
      <c r="H214" s="3"/>
    </row>
    <row r="215" spans="1:8" ht="32.25" thickBot="1">
      <c r="A215" s="39">
        <v>38040</v>
      </c>
      <c r="B215" s="40" t="s">
        <v>299</v>
      </c>
      <c r="C215" s="37" t="s">
        <v>146</v>
      </c>
      <c r="D215" s="3"/>
      <c r="E215" s="3"/>
      <c r="F215" s="3"/>
      <c r="G215" s="3"/>
      <c r="H215" s="3"/>
    </row>
    <row r="216" spans="1:8" ht="32.25" thickBot="1">
      <c r="A216" s="36" t="s">
        <v>300</v>
      </c>
      <c r="B216" s="42" t="s">
        <v>260</v>
      </c>
      <c r="C216" s="37" t="s">
        <v>146</v>
      </c>
      <c r="D216" s="3"/>
      <c r="E216" s="3"/>
      <c r="F216" s="3"/>
      <c r="G216" s="3"/>
      <c r="H216" s="3"/>
    </row>
    <row r="217" spans="1:8" ht="32.25" thickBot="1">
      <c r="A217" s="39">
        <v>38406</v>
      </c>
      <c r="B217" s="40" t="s">
        <v>301</v>
      </c>
      <c r="C217" s="37" t="s">
        <v>146</v>
      </c>
      <c r="D217" s="3"/>
      <c r="E217" s="3"/>
      <c r="F217" s="3"/>
      <c r="G217" s="3"/>
      <c r="H217" s="3"/>
    </row>
    <row r="218" spans="1:8" ht="32.25" thickBot="1">
      <c r="A218" s="36" t="s">
        <v>302</v>
      </c>
      <c r="B218" s="42" t="s">
        <v>260</v>
      </c>
      <c r="C218" s="37" t="s">
        <v>146</v>
      </c>
      <c r="D218" s="3"/>
      <c r="E218" s="3"/>
      <c r="F218" s="3"/>
      <c r="G218" s="3"/>
      <c r="H218" s="3"/>
    </row>
    <row r="219" spans="1:8" ht="32.25" thickBot="1">
      <c r="A219" s="39">
        <v>38771</v>
      </c>
      <c r="B219" s="40" t="s">
        <v>303</v>
      </c>
      <c r="C219" s="37" t="s">
        <v>146</v>
      </c>
      <c r="D219" s="3"/>
      <c r="E219" s="3"/>
      <c r="F219" s="3"/>
      <c r="G219" s="3"/>
      <c r="H219" s="3"/>
    </row>
    <row r="220" spans="1:8" ht="32.25" thickBot="1">
      <c r="A220" s="36" t="s">
        <v>304</v>
      </c>
      <c r="B220" s="42" t="s">
        <v>260</v>
      </c>
      <c r="C220" s="37" t="s">
        <v>146</v>
      </c>
      <c r="D220" s="3"/>
      <c r="E220" s="3"/>
      <c r="F220" s="3"/>
      <c r="G220" s="3"/>
      <c r="H220" s="3"/>
    </row>
    <row r="221" spans="1:8" ht="32.25" thickBot="1">
      <c r="A221" s="39">
        <v>39136</v>
      </c>
      <c r="B221" s="40" t="s">
        <v>305</v>
      </c>
      <c r="C221" s="37" t="s">
        <v>146</v>
      </c>
      <c r="D221" s="3"/>
      <c r="E221" s="3"/>
      <c r="F221" s="3"/>
      <c r="G221" s="3"/>
      <c r="H221" s="3"/>
    </row>
    <row r="222" spans="1:8" ht="32.25" thickBot="1">
      <c r="A222" s="36" t="s">
        <v>306</v>
      </c>
      <c r="B222" s="42" t="s">
        <v>260</v>
      </c>
      <c r="C222" s="37" t="s">
        <v>146</v>
      </c>
      <c r="D222" s="3"/>
      <c r="E222" s="3"/>
      <c r="F222" s="3"/>
      <c r="G222" s="3"/>
      <c r="H222" s="3"/>
    </row>
    <row r="223" spans="1:8" ht="48" thickBot="1">
      <c r="A223" s="39">
        <v>39501</v>
      </c>
      <c r="B223" s="40" t="s">
        <v>307</v>
      </c>
      <c r="C223" s="37" t="s">
        <v>146</v>
      </c>
      <c r="D223" s="3"/>
      <c r="E223" s="3"/>
      <c r="F223" s="3"/>
      <c r="G223" s="3"/>
      <c r="H223" s="3"/>
    </row>
    <row r="224" spans="1:8" ht="32.25" thickBot="1">
      <c r="A224" s="36" t="s">
        <v>308</v>
      </c>
      <c r="B224" s="42" t="s">
        <v>260</v>
      </c>
      <c r="C224" s="37" t="s">
        <v>146</v>
      </c>
      <c r="D224" s="3"/>
      <c r="E224" s="3"/>
      <c r="F224" s="3"/>
      <c r="G224" s="3"/>
      <c r="H224" s="3"/>
    </row>
    <row r="225" spans="1:8" ht="32.25" thickBot="1">
      <c r="A225" s="39">
        <v>39867</v>
      </c>
      <c r="B225" s="40" t="s">
        <v>309</v>
      </c>
      <c r="C225" s="37" t="s">
        <v>146</v>
      </c>
      <c r="D225" s="3"/>
      <c r="E225" s="3"/>
      <c r="F225" s="3"/>
      <c r="G225" s="3"/>
      <c r="H225" s="3"/>
    </row>
    <row r="226" spans="1:8" ht="32.25" thickBot="1">
      <c r="A226" s="36" t="s">
        <v>310</v>
      </c>
      <c r="B226" s="42" t="s">
        <v>260</v>
      </c>
      <c r="C226" s="37" t="s">
        <v>146</v>
      </c>
      <c r="D226" s="3"/>
      <c r="E226" s="3"/>
      <c r="F226" s="3"/>
      <c r="G226" s="3"/>
      <c r="H226" s="3"/>
    </row>
    <row r="227" spans="1:8" ht="63.75" thickBot="1">
      <c r="A227" s="36">
        <v>23.3</v>
      </c>
      <c r="B227" s="38" t="s">
        <v>311</v>
      </c>
      <c r="C227" s="37" t="s">
        <v>20</v>
      </c>
      <c r="D227" s="3"/>
      <c r="E227" s="3"/>
      <c r="F227" s="3"/>
      <c r="G227" s="3"/>
      <c r="H227" s="3"/>
    </row>
    <row r="228" spans="1:8" ht="32.25" thickBot="1">
      <c r="A228" s="39">
        <v>36973</v>
      </c>
      <c r="B228" s="40" t="s">
        <v>312</v>
      </c>
      <c r="C228" s="37" t="s">
        <v>20</v>
      </c>
      <c r="D228" s="3"/>
      <c r="E228" s="3"/>
      <c r="F228" s="3"/>
      <c r="G228" s="3"/>
      <c r="H228" s="3"/>
    </row>
    <row r="229" spans="1:8" ht="63.75" thickBot="1">
      <c r="A229" s="36" t="s">
        <v>313</v>
      </c>
      <c r="B229" s="40" t="s">
        <v>314</v>
      </c>
      <c r="C229" s="37" t="s">
        <v>20</v>
      </c>
      <c r="D229" s="3"/>
      <c r="E229" s="3"/>
      <c r="F229" s="3"/>
      <c r="G229" s="3"/>
      <c r="H229" s="3"/>
    </row>
    <row r="230" spans="1:8" ht="63.75" thickBot="1">
      <c r="A230" s="36" t="s">
        <v>315</v>
      </c>
      <c r="B230" s="40" t="s">
        <v>316</v>
      </c>
      <c r="C230" s="37" t="s">
        <v>20</v>
      </c>
      <c r="D230" s="3"/>
      <c r="E230" s="3"/>
      <c r="F230" s="3"/>
      <c r="G230" s="3"/>
      <c r="H230" s="3"/>
    </row>
    <row r="231" spans="1:8" ht="63.75" thickBot="1">
      <c r="A231" s="36" t="s">
        <v>317</v>
      </c>
      <c r="B231" s="40" t="s">
        <v>318</v>
      </c>
      <c r="C231" s="37" t="s">
        <v>20</v>
      </c>
      <c r="D231" s="3"/>
      <c r="E231" s="3"/>
      <c r="F231" s="3"/>
      <c r="G231" s="3"/>
      <c r="H231" s="3"/>
    </row>
    <row r="232" spans="1:8" ht="32.25" thickBot="1">
      <c r="A232" s="39">
        <v>37338</v>
      </c>
      <c r="B232" s="40" t="s">
        <v>319</v>
      </c>
      <c r="C232" s="37" t="s">
        <v>20</v>
      </c>
      <c r="D232" s="3"/>
      <c r="E232" s="3"/>
      <c r="F232" s="3"/>
      <c r="G232" s="3"/>
      <c r="H232" s="3"/>
    </row>
    <row r="233" spans="1:8" ht="32.25" thickBot="1">
      <c r="A233" s="39">
        <v>37703</v>
      </c>
      <c r="B233" s="40" t="s">
        <v>320</v>
      </c>
      <c r="C233" s="37" t="s">
        <v>20</v>
      </c>
      <c r="D233" s="3"/>
      <c r="E233" s="3"/>
      <c r="F233" s="3"/>
      <c r="G233" s="3"/>
      <c r="H233" s="3"/>
    </row>
    <row r="234" spans="1:8" ht="32.25" thickBot="1">
      <c r="A234" s="39">
        <v>38069</v>
      </c>
      <c r="B234" s="40" t="s">
        <v>321</v>
      </c>
      <c r="C234" s="37" t="s">
        <v>20</v>
      </c>
      <c r="D234" s="3"/>
      <c r="E234" s="3"/>
      <c r="F234" s="3"/>
      <c r="G234" s="3"/>
      <c r="H234" s="3"/>
    </row>
    <row r="235" spans="1:8" ht="32.25" thickBot="1">
      <c r="A235" s="39">
        <v>38434</v>
      </c>
      <c r="B235" s="40" t="s">
        <v>322</v>
      </c>
      <c r="C235" s="37" t="s">
        <v>20</v>
      </c>
      <c r="D235" s="3"/>
      <c r="E235" s="3"/>
      <c r="F235" s="3"/>
      <c r="G235" s="3"/>
      <c r="H235" s="3"/>
    </row>
    <row r="236" spans="1:8" ht="32.25" thickBot="1">
      <c r="A236" s="39">
        <v>38799</v>
      </c>
      <c r="B236" s="40" t="s">
        <v>323</v>
      </c>
      <c r="C236" s="37" t="s">
        <v>20</v>
      </c>
      <c r="D236" s="3"/>
      <c r="E236" s="3"/>
      <c r="F236" s="3"/>
      <c r="G236" s="3"/>
      <c r="H236" s="3"/>
    </row>
    <row r="237" spans="1:8" ht="48" thickBot="1">
      <c r="A237" s="39">
        <v>39164</v>
      </c>
      <c r="B237" s="40" t="s">
        <v>324</v>
      </c>
      <c r="C237" s="37" t="s">
        <v>20</v>
      </c>
      <c r="D237" s="3"/>
      <c r="E237" s="3"/>
      <c r="F237" s="3"/>
      <c r="G237" s="3"/>
      <c r="H237" s="3"/>
    </row>
    <row r="238" spans="1:8" ht="32.25" thickBot="1">
      <c r="A238" s="36" t="s">
        <v>325</v>
      </c>
      <c r="B238" s="42" t="s">
        <v>158</v>
      </c>
      <c r="C238" s="37" t="s">
        <v>20</v>
      </c>
      <c r="D238" s="3"/>
      <c r="E238" s="3"/>
      <c r="F238" s="3"/>
      <c r="G238" s="3"/>
      <c r="H238" s="3"/>
    </row>
    <row r="239" spans="1:8" ht="16.5" thickBot="1">
      <c r="A239" s="36" t="s">
        <v>326</v>
      </c>
      <c r="B239" s="42" t="s">
        <v>159</v>
      </c>
      <c r="C239" s="37" t="s">
        <v>20</v>
      </c>
      <c r="D239" s="3"/>
      <c r="E239" s="3"/>
      <c r="F239" s="3"/>
      <c r="G239" s="3"/>
      <c r="H239" s="3"/>
    </row>
    <row r="240" spans="1:8" ht="16.5" thickBot="1">
      <c r="A240" s="683" t="s">
        <v>327</v>
      </c>
      <c r="B240" s="685"/>
      <c r="C240" s="685"/>
      <c r="D240" s="685"/>
      <c r="E240" s="685"/>
      <c r="F240" s="685"/>
      <c r="G240" s="685"/>
      <c r="H240" s="684"/>
    </row>
    <row r="241" spans="1:8" ht="48" thickBot="1">
      <c r="A241" s="36" t="s">
        <v>328</v>
      </c>
      <c r="B241" s="38" t="s">
        <v>329</v>
      </c>
      <c r="C241" s="37" t="s">
        <v>256</v>
      </c>
      <c r="D241" s="37" t="s">
        <v>330</v>
      </c>
      <c r="E241" s="37" t="s">
        <v>330</v>
      </c>
      <c r="F241" s="47"/>
      <c r="G241" s="37" t="s">
        <v>330</v>
      </c>
      <c r="H241" s="37" t="s">
        <v>330</v>
      </c>
    </row>
    <row r="242" spans="1:8" ht="16.5" thickBot="1">
      <c r="A242" s="36">
        <v>24.1</v>
      </c>
      <c r="B242" s="38" t="s">
        <v>331</v>
      </c>
      <c r="C242" s="37" t="s">
        <v>61</v>
      </c>
      <c r="D242" s="47"/>
      <c r="E242" s="47"/>
      <c r="F242" s="47"/>
      <c r="G242" s="47"/>
      <c r="H242" s="47"/>
    </row>
    <row r="243" spans="1:8" ht="16.5" thickBot="1">
      <c r="A243" s="36">
        <v>24.2</v>
      </c>
      <c r="B243" s="38" t="s">
        <v>332</v>
      </c>
      <c r="C243" s="37" t="s">
        <v>333</v>
      </c>
      <c r="D243" s="47"/>
      <c r="E243" s="47"/>
      <c r="F243" s="47"/>
      <c r="G243" s="47"/>
      <c r="H243" s="47"/>
    </row>
    <row r="244" spans="1:8" ht="16.5" thickBot="1">
      <c r="A244" s="36">
        <v>24.3</v>
      </c>
      <c r="B244" s="38" t="s">
        <v>334</v>
      </c>
      <c r="C244" s="37" t="s">
        <v>61</v>
      </c>
      <c r="D244" s="47"/>
      <c r="E244" s="47"/>
      <c r="F244" s="47"/>
      <c r="G244" s="47"/>
      <c r="H244" s="47"/>
    </row>
    <row r="245" spans="1:8" ht="16.5" thickBot="1">
      <c r="A245" s="36">
        <v>24.4</v>
      </c>
      <c r="B245" s="38" t="s">
        <v>335</v>
      </c>
      <c r="C245" s="37" t="s">
        <v>333</v>
      </c>
      <c r="D245" s="47"/>
      <c r="E245" s="47"/>
      <c r="F245" s="47"/>
      <c r="G245" s="47"/>
      <c r="H245" s="47"/>
    </row>
    <row r="246" spans="1:8" ht="32.25" thickBot="1">
      <c r="A246" s="36">
        <v>24.5</v>
      </c>
      <c r="B246" s="38" t="s">
        <v>336</v>
      </c>
      <c r="C246" s="37" t="s">
        <v>337</v>
      </c>
      <c r="D246" s="47"/>
      <c r="E246" s="47"/>
      <c r="F246" s="47"/>
      <c r="G246" s="47"/>
      <c r="H246" s="47"/>
    </row>
    <row r="247" spans="1:8" ht="32.25" thickBot="1">
      <c r="A247" s="36">
        <v>24.6</v>
      </c>
      <c r="B247" s="38" t="s">
        <v>338</v>
      </c>
      <c r="C247" s="37" t="s">
        <v>256</v>
      </c>
      <c r="D247" s="37" t="s">
        <v>330</v>
      </c>
      <c r="E247" s="37" t="s">
        <v>330</v>
      </c>
      <c r="F247" s="47"/>
      <c r="G247" s="37" t="s">
        <v>330</v>
      </c>
      <c r="H247" s="37" t="s">
        <v>330</v>
      </c>
    </row>
    <row r="248" spans="1:8" ht="32.25" thickBot="1">
      <c r="A248" s="39">
        <v>37066</v>
      </c>
      <c r="B248" s="40" t="s">
        <v>339</v>
      </c>
      <c r="C248" s="37" t="s">
        <v>337</v>
      </c>
      <c r="D248" s="47"/>
      <c r="E248" s="47"/>
      <c r="F248" s="47"/>
      <c r="G248" s="47"/>
      <c r="H248" s="47"/>
    </row>
    <row r="249" spans="1:8" ht="32.25" thickBot="1">
      <c r="A249" s="39">
        <v>37431</v>
      </c>
      <c r="B249" s="40" t="s">
        <v>340</v>
      </c>
      <c r="C249" s="37" t="s">
        <v>341</v>
      </c>
      <c r="D249" s="47"/>
      <c r="E249" s="47"/>
      <c r="F249" s="47"/>
      <c r="G249" s="47"/>
      <c r="H249" s="47"/>
    </row>
    <row r="250" spans="1:8" ht="32.25" thickBot="1">
      <c r="A250" s="36">
        <v>24.7</v>
      </c>
      <c r="B250" s="38" t="s">
        <v>342</v>
      </c>
      <c r="C250" s="37" t="s">
        <v>256</v>
      </c>
      <c r="D250" s="37" t="s">
        <v>330</v>
      </c>
      <c r="E250" s="37" t="s">
        <v>330</v>
      </c>
      <c r="F250" s="47"/>
      <c r="G250" s="37" t="s">
        <v>330</v>
      </c>
      <c r="H250" s="37" t="s">
        <v>330</v>
      </c>
    </row>
    <row r="251" spans="1:8" ht="32.25" thickBot="1">
      <c r="A251" s="39">
        <v>37096</v>
      </c>
      <c r="B251" s="40" t="s">
        <v>339</v>
      </c>
      <c r="C251" s="37" t="s">
        <v>337</v>
      </c>
      <c r="D251" s="47"/>
      <c r="E251" s="47"/>
      <c r="F251" s="47"/>
      <c r="G251" s="47"/>
      <c r="H251" s="47"/>
    </row>
    <row r="252" spans="1:8" ht="16.5" thickBot="1">
      <c r="A252" s="39">
        <v>37461</v>
      </c>
      <c r="B252" s="40" t="s">
        <v>343</v>
      </c>
      <c r="C252" s="37" t="s">
        <v>61</v>
      </c>
      <c r="D252" s="47"/>
      <c r="E252" s="47"/>
      <c r="F252" s="47"/>
      <c r="G252" s="47"/>
      <c r="H252" s="47"/>
    </row>
    <row r="253" spans="1:8" ht="32.25" thickBot="1">
      <c r="A253" s="39">
        <v>37826</v>
      </c>
      <c r="B253" s="40" t="s">
        <v>340</v>
      </c>
      <c r="C253" s="37" t="s">
        <v>341</v>
      </c>
      <c r="D253" s="47"/>
      <c r="E253" s="47"/>
      <c r="F253" s="47"/>
      <c r="G253" s="47"/>
      <c r="H253" s="47"/>
    </row>
    <row r="254" spans="1:8" ht="32.25" thickBot="1">
      <c r="A254" s="36">
        <v>24.8</v>
      </c>
      <c r="B254" s="38" t="s">
        <v>344</v>
      </c>
      <c r="C254" s="37" t="s">
        <v>256</v>
      </c>
      <c r="D254" s="37" t="s">
        <v>330</v>
      </c>
      <c r="E254" s="37" t="s">
        <v>330</v>
      </c>
      <c r="F254" s="47"/>
      <c r="G254" s="37" t="s">
        <v>330</v>
      </c>
      <c r="H254" s="37" t="s">
        <v>330</v>
      </c>
    </row>
    <row r="255" spans="1:8" ht="32.25" thickBot="1">
      <c r="A255" s="39">
        <v>37127</v>
      </c>
      <c r="B255" s="40" t="s">
        <v>339</v>
      </c>
      <c r="C255" s="37" t="s">
        <v>337</v>
      </c>
      <c r="D255" s="47"/>
      <c r="E255" s="47"/>
      <c r="F255" s="47"/>
      <c r="G255" s="47"/>
      <c r="H255" s="47"/>
    </row>
    <row r="256" spans="1:8" ht="32.25" thickBot="1">
      <c r="A256" s="39">
        <v>37492</v>
      </c>
      <c r="B256" s="40" t="s">
        <v>340</v>
      </c>
      <c r="C256" s="37" t="s">
        <v>341</v>
      </c>
      <c r="D256" s="47"/>
      <c r="E256" s="47"/>
      <c r="F256" s="47"/>
      <c r="G256" s="47"/>
      <c r="H256" s="47"/>
    </row>
    <row r="257" spans="1:8" ht="32.25" thickBot="1">
      <c r="A257" s="36">
        <v>24.9</v>
      </c>
      <c r="B257" s="38" t="s">
        <v>345</v>
      </c>
      <c r="C257" s="37" t="s">
        <v>256</v>
      </c>
      <c r="D257" s="37" t="s">
        <v>330</v>
      </c>
      <c r="E257" s="37" t="s">
        <v>330</v>
      </c>
      <c r="F257" s="47"/>
      <c r="G257" s="37" t="s">
        <v>330</v>
      </c>
      <c r="H257" s="37" t="s">
        <v>330</v>
      </c>
    </row>
    <row r="258" spans="1:8" ht="32.25" thickBot="1">
      <c r="A258" s="39">
        <v>37158</v>
      </c>
      <c r="B258" s="38" t="s">
        <v>339</v>
      </c>
      <c r="C258" s="37" t="s">
        <v>337</v>
      </c>
      <c r="D258" s="47"/>
      <c r="E258" s="47"/>
      <c r="F258" s="47"/>
      <c r="G258" s="47"/>
      <c r="H258" s="47"/>
    </row>
    <row r="259" spans="1:8" ht="16.5" thickBot="1">
      <c r="A259" s="39">
        <v>37523</v>
      </c>
      <c r="B259" s="38" t="s">
        <v>343</v>
      </c>
      <c r="C259" s="37" t="s">
        <v>61</v>
      </c>
      <c r="D259" s="47"/>
      <c r="E259" s="47"/>
      <c r="F259" s="47"/>
      <c r="G259" s="47"/>
      <c r="H259" s="47"/>
    </row>
    <row r="260" spans="1:8" ht="32.25" thickBot="1">
      <c r="A260" s="39">
        <v>37888</v>
      </c>
      <c r="B260" s="38" t="s">
        <v>340</v>
      </c>
      <c r="C260" s="37" t="s">
        <v>341</v>
      </c>
      <c r="D260" s="47"/>
      <c r="E260" s="47"/>
      <c r="F260" s="47"/>
      <c r="G260" s="47"/>
      <c r="H260" s="47"/>
    </row>
    <row r="261" spans="1:8" ht="32.25" thickBot="1">
      <c r="A261" s="36" t="s">
        <v>346</v>
      </c>
      <c r="B261" s="3" t="s">
        <v>347</v>
      </c>
      <c r="C261" s="37" t="s">
        <v>256</v>
      </c>
      <c r="D261" s="37" t="s">
        <v>330</v>
      </c>
      <c r="E261" s="37" t="s">
        <v>330</v>
      </c>
      <c r="F261" s="47"/>
      <c r="G261" s="37" t="s">
        <v>330</v>
      </c>
      <c r="H261" s="37" t="s">
        <v>330</v>
      </c>
    </row>
    <row r="262" spans="1:8" ht="32.25" thickBot="1">
      <c r="A262" s="36">
        <v>25.1</v>
      </c>
      <c r="B262" s="38" t="s">
        <v>348</v>
      </c>
      <c r="C262" s="37" t="s">
        <v>337</v>
      </c>
      <c r="D262" s="47"/>
      <c r="E262" s="47"/>
      <c r="F262" s="47"/>
      <c r="G262" s="47"/>
      <c r="H262" s="47"/>
    </row>
    <row r="263" spans="1:8" ht="48" thickBot="1">
      <c r="A263" s="39">
        <v>36916</v>
      </c>
      <c r="B263" s="38" t="s">
        <v>349</v>
      </c>
      <c r="C263" s="37" t="s">
        <v>337</v>
      </c>
      <c r="D263" s="47"/>
      <c r="E263" s="47"/>
      <c r="F263" s="47"/>
      <c r="G263" s="47"/>
      <c r="H263" s="47"/>
    </row>
    <row r="264" spans="1:8" ht="32.25" thickBot="1">
      <c r="A264" s="36" t="s">
        <v>350</v>
      </c>
      <c r="B264" s="40" t="s">
        <v>351</v>
      </c>
      <c r="C264" s="37" t="s">
        <v>337</v>
      </c>
      <c r="D264" s="47"/>
      <c r="E264" s="47"/>
      <c r="F264" s="47"/>
      <c r="G264" s="47"/>
      <c r="H264" s="47"/>
    </row>
    <row r="265" spans="1:8" ht="48" thickBot="1">
      <c r="A265" s="36" t="s">
        <v>352</v>
      </c>
      <c r="B265" s="40" t="s">
        <v>353</v>
      </c>
      <c r="C265" s="37" t="s">
        <v>337</v>
      </c>
      <c r="D265" s="47"/>
      <c r="E265" s="47"/>
      <c r="F265" s="47"/>
      <c r="G265" s="47"/>
      <c r="H265" s="47"/>
    </row>
    <row r="266" spans="1:8" ht="32.25" thickBot="1">
      <c r="A266" s="36">
        <v>25.2</v>
      </c>
      <c r="B266" s="38" t="s">
        <v>354</v>
      </c>
      <c r="C266" s="37" t="s">
        <v>337</v>
      </c>
      <c r="D266" s="47"/>
      <c r="E266" s="47"/>
      <c r="F266" s="47"/>
      <c r="G266" s="47"/>
      <c r="H266" s="47"/>
    </row>
    <row r="267" spans="1:8" ht="30.75" thickBot="1">
      <c r="A267" s="36">
        <v>25.3</v>
      </c>
      <c r="B267" s="48" t="s">
        <v>355</v>
      </c>
      <c r="C267" s="37" t="s">
        <v>61</v>
      </c>
      <c r="D267" s="47"/>
      <c r="E267" s="47"/>
      <c r="F267" s="47"/>
      <c r="G267" s="47"/>
      <c r="H267" s="47"/>
    </row>
    <row r="268" spans="1:8" ht="48" thickBot="1">
      <c r="A268" s="39">
        <v>36975</v>
      </c>
      <c r="B268" s="40" t="s">
        <v>356</v>
      </c>
      <c r="C268" s="37" t="s">
        <v>61</v>
      </c>
      <c r="D268" s="47"/>
      <c r="E268" s="47"/>
      <c r="F268" s="47"/>
      <c r="G268" s="47"/>
      <c r="H268" s="47"/>
    </row>
    <row r="269" spans="1:8" ht="32.25" thickBot="1">
      <c r="A269" s="36" t="s">
        <v>357</v>
      </c>
      <c r="B269" s="42" t="s">
        <v>351</v>
      </c>
      <c r="C269" s="37" t="s">
        <v>61</v>
      </c>
      <c r="D269" s="47"/>
      <c r="E269" s="47"/>
      <c r="F269" s="47"/>
      <c r="G269" s="47"/>
      <c r="H269" s="47"/>
    </row>
    <row r="270" spans="1:8" ht="48" thickBot="1">
      <c r="A270" s="36" t="s">
        <v>358</v>
      </c>
      <c r="B270" s="42" t="s">
        <v>353</v>
      </c>
      <c r="C270" s="37" t="s">
        <v>61</v>
      </c>
      <c r="D270" s="47"/>
      <c r="E270" s="47"/>
      <c r="F270" s="47"/>
      <c r="G270" s="47"/>
      <c r="H270" s="47"/>
    </row>
    <row r="271" spans="1:8" ht="48" thickBot="1">
      <c r="A271" s="36">
        <v>25.4</v>
      </c>
      <c r="B271" s="38" t="s">
        <v>359</v>
      </c>
      <c r="C271" s="37" t="s">
        <v>360</v>
      </c>
      <c r="D271" s="47"/>
      <c r="E271" s="47"/>
      <c r="F271" s="47"/>
      <c r="G271" s="47"/>
      <c r="H271" s="47"/>
    </row>
    <row r="272" spans="1:8" ht="63.75" thickBot="1">
      <c r="A272" s="36">
        <v>25.5</v>
      </c>
      <c r="B272" s="38" t="s">
        <v>361</v>
      </c>
      <c r="C272" s="37" t="s">
        <v>146</v>
      </c>
      <c r="D272" s="47"/>
      <c r="E272" s="47"/>
      <c r="F272" s="47"/>
      <c r="G272" s="47"/>
      <c r="H272" s="47"/>
    </row>
    <row r="273" spans="1:8" ht="16.5" thickBot="1">
      <c r="A273" s="36" t="s">
        <v>362</v>
      </c>
      <c r="B273" s="3" t="s">
        <v>363</v>
      </c>
      <c r="C273" s="37" t="s">
        <v>256</v>
      </c>
      <c r="D273" s="37" t="s">
        <v>330</v>
      </c>
      <c r="E273" s="37" t="s">
        <v>330</v>
      </c>
      <c r="F273" s="47"/>
      <c r="G273" s="37" t="s">
        <v>330</v>
      </c>
      <c r="H273" s="37" t="s">
        <v>330</v>
      </c>
    </row>
    <row r="274" spans="1:8" ht="32.25" thickBot="1">
      <c r="A274" s="36">
        <v>26.1</v>
      </c>
      <c r="B274" s="38" t="s">
        <v>364</v>
      </c>
      <c r="C274" s="37" t="s">
        <v>337</v>
      </c>
      <c r="D274" s="47"/>
      <c r="E274" s="47"/>
      <c r="F274" s="47"/>
      <c r="G274" s="47"/>
      <c r="H274" s="47"/>
    </row>
    <row r="275" spans="1:8" ht="16.5" thickBot="1">
      <c r="A275" s="36">
        <v>26.2</v>
      </c>
      <c r="B275" s="38" t="s">
        <v>365</v>
      </c>
      <c r="C275" s="37" t="s">
        <v>333</v>
      </c>
      <c r="D275" s="47"/>
      <c r="E275" s="47"/>
      <c r="F275" s="47"/>
      <c r="G275" s="47"/>
      <c r="H275" s="47"/>
    </row>
    <row r="276" spans="1:8" ht="79.5" thickBot="1">
      <c r="A276" s="36">
        <v>26.3</v>
      </c>
      <c r="B276" s="38" t="s">
        <v>366</v>
      </c>
      <c r="C276" s="37" t="s">
        <v>146</v>
      </c>
      <c r="D276" s="47"/>
      <c r="E276" s="47"/>
      <c r="F276" s="47"/>
      <c r="G276" s="47"/>
      <c r="H276" s="47"/>
    </row>
    <row r="277" spans="1:8" ht="63.75" thickBot="1">
      <c r="A277" s="36">
        <v>26.4</v>
      </c>
      <c r="B277" s="38" t="s">
        <v>367</v>
      </c>
      <c r="C277" s="37" t="s">
        <v>146</v>
      </c>
      <c r="D277" s="47"/>
      <c r="E277" s="47"/>
      <c r="F277" s="47"/>
      <c r="G277" s="47"/>
      <c r="H277" s="47"/>
    </row>
    <row r="278" spans="1:8" ht="32.25" thickBot="1">
      <c r="A278" s="36" t="s">
        <v>368</v>
      </c>
      <c r="B278" s="3" t="s">
        <v>369</v>
      </c>
      <c r="C278" s="37" t="s">
        <v>256</v>
      </c>
      <c r="D278" s="37" t="s">
        <v>330</v>
      </c>
      <c r="E278" s="37" t="s">
        <v>330</v>
      </c>
      <c r="F278" s="47"/>
      <c r="G278" s="37" t="s">
        <v>330</v>
      </c>
      <c r="H278" s="37" t="s">
        <v>330</v>
      </c>
    </row>
    <row r="279" spans="1:8" ht="48" thickBot="1">
      <c r="A279" s="36">
        <v>27.1</v>
      </c>
      <c r="B279" s="38" t="s">
        <v>370</v>
      </c>
      <c r="C279" s="37" t="s">
        <v>61</v>
      </c>
      <c r="D279" s="47"/>
      <c r="E279" s="47"/>
      <c r="F279" s="47"/>
      <c r="G279" s="47"/>
      <c r="H279" s="47"/>
    </row>
    <row r="280" spans="1:8" ht="95.25" thickBot="1">
      <c r="A280" s="39">
        <v>36918</v>
      </c>
      <c r="B280" s="40" t="s">
        <v>371</v>
      </c>
      <c r="C280" s="37" t="s">
        <v>61</v>
      </c>
      <c r="D280" s="47"/>
      <c r="E280" s="47"/>
      <c r="F280" s="47"/>
      <c r="G280" s="47"/>
      <c r="H280" s="47"/>
    </row>
    <row r="281" spans="1:8" ht="95.25" thickBot="1">
      <c r="A281" s="39">
        <v>37283</v>
      </c>
      <c r="B281" s="40" t="s">
        <v>372</v>
      </c>
      <c r="C281" s="37" t="s">
        <v>61</v>
      </c>
      <c r="D281" s="47"/>
      <c r="E281" s="47"/>
      <c r="F281" s="47"/>
      <c r="G281" s="47"/>
      <c r="H281" s="47"/>
    </row>
    <row r="282" spans="1:8" ht="48" thickBot="1">
      <c r="A282" s="39">
        <v>37648</v>
      </c>
      <c r="B282" s="40" t="s">
        <v>373</v>
      </c>
      <c r="C282" s="37" t="s">
        <v>61</v>
      </c>
      <c r="D282" s="47"/>
      <c r="E282" s="47"/>
      <c r="F282" s="47"/>
      <c r="G282" s="47"/>
      <c r="H282" s="47"/>
    </row>
    <row r="283" spans="1:8" ht="48" thickBot="1">
      <c r="A283" s="36">
        <v>27.2</v>
      </c>
      <c r="B283" s="38" t="s">
        <v>374</v>
      </c>
      <c r="C283" s="37" t="s">
        <v>337</v>
      </c>
      <c r="D283" s="47"/>
      <c r="E283" s="47"/>
      <c r="F283" s="47"/>
      <c r="G283" s="47"/>
      <c r="H283" s="47"/>
    </row>
    <row r="284" spans="1:8" ht="63.75" thickBot="1">
      <c r="A284" s="39">
        <v>36949</v>
      </c>
      <c r="B284" s="40" t="s">
        <v>375</v>
      </c>
      <c r="C284" s="37" t="s">
        <v>337</v>
      </c>
      <c r="D284" s="47"/>
      <c r="E284" s="47"/>
      <c r="F284" s="47"/>
      <c r="G284" s="47"/>
      <c r="H284" s="47"/>
    </row>
    <row r="285" spans="1:8" ht="48" thickBot="1">
      <c r="A285" s="39">
        <v>37314</v>
      </c>
      <c r="B285" s="40" t="s">
        <v>376</v>
      </c>
      <c r="C285" s="37" t="s">
        <v>337</v>
      </c>
      <c r="D285" s="47"/>
      <c r="E285" s="47"/>
      <c r="F285" s="47"/>
      <c r="G285" s="47"/>
      <c r="H285" s="47"/>
    </row>
    <row r="286" spans="1:8" ht="48" thickBot="1">
      <c r="A286" s="36">
        <v>27.3</v>
      </c>
      <c r="B286" s="38" t="s">
        <v>377</v>
      </c>
      <c r="C286" s="37" t="s">
        <v>146</v>
      </c>
      <c r="D286" s="47"/>
      <c r="E286" s="47"/>
      <c r="F286" s="47"/>
      <c r="G286" s="47"/>
      <c r="H286" s="47"/>
    </row>
    <row r="287" spans="1:8" ht="32.25" thickBot="1">
      <c r="A287" s="39">
        <v>36977</v>
      </c>
      <c r="B287" s="40" t="s">
        <v>158</v>
      </c>
      <c r="C287" s="37" t="s">
        <v>146</v>
      </c>
      <c r="D287" s="47"/>
      <c r="E287" s="47"/>
      <c r="F287" s="47"/>
      <c r="G287" s="47"/>
      <c r="H287" s="47"/>
    </row>
    <row r="288" spans="1:8" ht="32.25" thickBot="1">
      <c r="A288" s="39">
        <v>37342</v>
      </c>
      <c r="B288" s="40" t="s">
        <v>159</v>
      </c>
      <c r="C288" s="37" t="s">
        <v>146</v>
      </c>
      <c r="D288" s="47"/>
      <c r="E288" s="47"/>
      <c r="F288" s="47"/>
      <c r="G288" s="47"/>
      <c r="H288" s="47"/>
    </row>
    <row r="289" spans="1:8" ht="16.5" thickBot="1">
      <c r="A289" s="36" t="s">
        <v>378</v>
      </c>
      <c r="B289" s="3" t="s">
        <v>379</v>
      </c>
      <c r="C289" s="37" t="s">
        <v>380</v>
      </c>
      <c r="D289" s="47"/>
      <c r="E289" s="47"/>
      <c r="F289" s="47"/>
      <c r="G289" s="47"/>
      <c r="H289" s="47"/>
    </row>
    <row r="290" spans="1:8" ht="16.5" thickBot="1">
      <c r="A290" s="683" t="s">
        <v>381</v>
      </c>
      <c r="B290" s="685"/>
      <c r="C290" s="685"/>
      <c r="D290" s="685"/>
      <c r="E290" s="685"/>
      <c r="F290" s="685"/>
      <c r="G290" s="685"/>
      <c r="H290" s="684"/>
    </row>
    <row r="291" spans="1:8" ht="16.5" thickBot="1">
      <c r="A291" s="657" t="s">
        <v>136</v>
      </c>
      <c r="B291" s="657" t="s">
        <v>137</v>
      </c>
      <c r="C291" s="657" t="s">
        <v>138</v>
      </c>
      <c r="D291" s="660" t="s">
        <v>139</v>
      </c>
      <c r="E291" s="662"/>
      <c r="F291" s="660" t="s">
        <v>382</v>
      </c>
      <c r="G291" s="662"/>
      <c r="H291" s="657" t="s">
        <v>10</v>
      </c>
    </row>
    <row r="292" spans="1:8" ht="48" thickBot="1">
      <c r="A292" s="659"/>
      <c r="B292" s="659"/>
      <c r="C292" s="659"/>
      <c r="D292" s="27" t="s">
        <v>11</v>
      </c>
      <c r="E292" s="27" t="s">
        <v>12</v>
      </c>
      <c r="F292" s="27" t="s">
        <v>141</v>
      </c>
      <c r="G292" s="27" t="s">
        <v>142</v>
      </c>
      <c r="H292" s="659"/>
    </row>
    <row r="293" spans="1:8" ht="16.5" thickBot="1">
      <c r="A293" s="28">
        <v>1</v>
      </c>
      <c r="B293" s="27">
        <v>2</v>
      </c>
      <c r="C293" s="27">
        <v>3</v>
      </c>
      <c r="D293" s="27">
        <v>4</v>
      </c>
      <c r="E293" s="27">
        <v>5</v>
      </c>
      <c r="F293" s="27">
        <v>6</v>
      </c>
      <c r="G293" s="27">
        <v>7</v>
      </c>
      <c r="H293" s="27">
        <v>8</v>
      </c>
    </row>
    <row r="294" spans="1:8" ht="32.25" thickBot="1">
      <c r="A294" s="683" t="s">
        <v>383</v>
      </c>
      <c r="B294" s="684"/>
      <c r="C294" s="37" t="s">
        <v>146</v>
      </c>
      <c r="D294" s="3"/>
      <c r="E294" s="3"/>
      <c r="F294" s="3"/>
      <c r="G294" s="3"/>
      <c r="H294" s="3"/>
    </row>
    <row r="295" spans="1:8" ht="32.25" thickBot="1">
      <c r="A295" s="36" t="s">
        <v>144</v>
      </c>
      <c r="B295" s="3" t="s">
        <v>384</v>
      </c>
      <c r="C295" s="37" t="s">
        <v>146</v>
      </c>
      <c r="D295" s="3"/>
      <c r="E295" s="3"/>
      <c r="F295" s="3"/>
      <c r="G295" s="3"/>
      <c r="H295" s="3"/>
    </row>
    <row r="296" spans="1:8" ht="32.25" thickBot="1">
      <c r="A296" s="36">
        <v>1.1000000000000001</v>
      </c>
      <c r="B296" s="38" t="s">
        <v>385</v>
      </c>
      <c r="C296" s="37" t="s">
        <v>146</v>
      </c>
      <c r="D296" s="3"/>
      <c r="E296" s="3"/>
      <c r="F296" s="3"/>
      <c r="G296" s="3"/>
      <c r="H296" s="3"/>
    </row>
    <row r="297" spans="1:8" ht="48" thickBot="1">
      <c r="A297" s="39">
        <v>36892</v>
      </c>
      <c r="B297" s="40" t="s">
        <v>386</v>
      </c>
      <c r="C297" s="37" t="s">
        <v>146</v>
      </c>
      <c r="D297" s="3"/>
      <c r="E297" s="3"/>
      <c r="F297" s="3"/>
      <c r="G297" s="3"/>
      <c r="H297" s="3"/>
    </row>
    <row r="298" spans="1:8" ht="32.25" thickBot="1">
      <c r="A298" s="36" t="s">
        <v>387</v>
      </c>
      <c r="B298" s="42" t="s">
        <v>388</v>
      </c>
      <c r="C298" s="37" t="s">
        <v>146</v>
      </c>
      <c r="D298" s="3"/>
      <c r="E298" s="3"/>
      <c r="F298" s="3"/>
      <c r="G298" s="3"/>
      <c r="H298" s="3"/>
    </row>
    <row r="299" spans="1:8" ht="63.75" thickBot="1">
      <c r="A299" s="36" t="s">
        <v>389</v>
      </c>
      <c r="B299" s="42" t="s">
        <v>148</v>
      </c>
      <c r="C299" s="37" t="s">
        <v>146</v>
      </c>
      <c r="D299" s="3"/>
      <c r="E299" s="3"/>
      <c r="F299" s="3"/>
      <c r="G299" s="3"/>
      <c r="H299" s="3"/>
    </row>
    <row r="300" spans="1:8" ht="63.75" thickBot="1">
      <c r="A300" s="36" t="s">
        <v>390</v>
      </c>
      <c r="B300" s="42" t="s">
        <v>149</v>
      </c>
      <c r="C300" s="37" t="s">
        <v>146</v>
      </c>
      <c r="D300" s="3"/>
      <c r="E300" s="3"/>
      <c r="F300" s="3"/>
      <c r="G300" s="3"/>
      <c r="H300" s="3"/>
    </row>
    <row r="301" spans="1:8" ht="63.75" thickBot="1">
      <c r="A301" s="36" t="s">
        <v>391</v>
      </c>
      <c r="B301" s="42" t="s">
        <v>150</v>
      </c>
      <c r="C301" s="37" t="s">
        <v>146</v>
      </c>
      <c r="D301" s="3"/>
      <c r="E301" s="3"/>
      <c r="F301" s="3"/>
      <c r="G301" s="3"/>
      <c r="H301" s="3"/>
    </row>
    <row r="302" spans="1:8" ht="32.25" thickBot="1">
      <c r="A302" s="36" t="s">
        <v>392</v>
      </c>
      <c r="B302" s="40" t="s">
        <v>393</v>
      </c>
      <c r="C302" s="37" t="s">
        <v>146</v>
      </c>
      <c r="D302" s="3"/>
      <c r="E302" s="3"/>
      <c r="F302" s="3"/>
      <c r="G302" s="3"/>
      <c r="H302" s="3"/>
    </row>
    <row r="303" spans="1:8" ht="32.25" thickBot="1">
      <c r="A303" s="36" t="s">
        <v>394</v>
      </c>
      <c r="B303" s="40" t="s">
        <v>395</v>
      </c>
      <c r="C303" s="37" t="s">
        <v>146</v>
      </c>
      <c r="D303" s="3"/>
      <c r="E303" s="3"/>
      <c r="F303" s="3"/>
      <c r="G303" s="3"/>
      <c r="H303" s="3"/>
    </row>
    <row r="304" spans="1:8" ht="32.25" thickBot="1">
      <c r="A304" s="36" t="s">
        <v>396</v>
      </c>
      <c r="B304" s="40" t="s">
        <v>397</v>
      </c>
      <c r="C304" s="37" t="s">
        <v>146</v>
      </c>
      <c r="D304" s="3"/>
      <c r="E304" s="3"/>
      <c r="F304" s="3"/>
      <c r="G304" s="3"/>
      <c r="H304" s="3"/>
    </row>
    <row r="305" spans="1:8" ht="32.25" thickBot="1">
      <c r="A305" s="36" t="s">
        <v>398</v>
      </c>
      <c r="B305" s="40" t="s">
        <v>399</v>
      </c>
      <c r="C305" s="37" t="s">
        <v>146</v>
      </c>
      <c r="D305" s="3"/>
      <c r="E305" s="3"/>
      <c r="F305" s="3"/>
      <c r="G305" s="3"/>
      <c r="H305" s="3"/>
    </row>
    <row r="306" spans="1:8" ht="48" thickBot="1">
      <c r="A306" s="36" t="s">
        <v>400</v>
      </c>
      <c r="B306" s="42" t="s">
        <v>401</v>
      </c>
      <c r="C306" s="37" t="s">
        <v>146</v>
      </c>
      <c r="D306" s="3"/>
      <c r="E306" s="3"/>
      <c r="F306" s="3"/>
      <c r="G306" s="3"/>
      <c r="H306" s="3"/>
    </row>
    <row r="307" spans="1:8" ht="32.25" thickBot="1">
      <c r="A307" s="36" t="s">
        <v>402</v>
      </c>
      <c r="B307" s="43" t="s">
        <v>403</v>
      </c>
      <c r="C307" s="37" t="s">
        <v>146</v>
      </c>
      <c r="D307" s="3"/>
      <c r="E307" s="3"/>
      <c r="F307" s="3"/>
      <c r="G307" s="3"/>
      <c r="H307" s="3"/>
    </row>
    <row r="308" spans="1:8" ht="32.25" thickBot="1">
      <c r="A308" s="36" t="s">
        <v>404</v>
      </c>
      <c r="B308" s="42" t="s">
        <v>405</v>
      </c>
      <c r="C308" s="37" t="s">
        <v>146</v>
      </c>
      <c r="D308" s="3"/>
      <c r="E308" s="3"/>
      <c r="F308" s="3"/>
      <c r="G308" s="3"/>
      <c r="H308" s="3"/>
    </row>
    <row r="309" spans="1:8" ht="32.25" thickBot="1">
      <c r="A309" s="36" t="s">
        <v>406</v>
      </c>
      <c r="B309" s="43" t="s">
        <v>403</v>
      </c>
      <c r="C309" s="37" t="s">
        <v>146</v>
      </c>
      <c r="D309" s="3"/>
      <c r="E309" s="3"/>
      <c r="F309" s="3"/>
      <c r="G309" s="3"/>
      <c r="H309" s="3"/>
    </row>
    <row r="310" spans="1:8" ht="32.25" thickBot="1">
      <c r="A310" s="36" t="s">
        <v>407</v>
      </c>
      <c r="B310" s="42" t="s">
        <v>408</v>
      </c>
      <c r="C310" s="37" t="s">
        <v>146</v>
      </c>
      <c r="D310" s="3"/>
      <c r="E310" s="3"/>
      <c r="F310" s="3"/>
      <c r="G310" s="3"/>
      <c r="H310" s="3"/>
    </row>
    <row r="311" spans="1:8" ht="32.25" thickBot="1">
      <c r="A311" s="36" t="s">
        <v>409</v>
      </c>
      <c r="B311" s="42" t="s">
        <v>277</v>
      </c>
      <c r="C311" s="37" t="s">
        <v>146</v>
      </c>
      <c r="D311" s="3"/>
      <c r="E311" s="3"/>
      <c r="F311" s="3"/>
      <c r="G311" s="3"/>
      <c r="H311" s="3"/>
    </row>
    <row r="312" spans="1:8" ht="48" thickBot="1">
      <c r="A312" s="36" t="s">
        <v>410</v>
      </c>
      <c r="B312" s="42" t="s">
        <v>411</v>
      </c>
      <c r="C312" s="37" t="s">
        <v>146</v>
      </c>
      <c r="D312" s="3"/>
      <c r="E312" s="3"/>
      <c r="F312" s="3"/>
      <c r="G312" s="3"/>
      <c r="H312" s="3"/>
    </row>
    <row r="313" spans="1:8" ht="32.25" thickBot="1">
      <c r="A313" s="36" t="s">
        <v>412</v>
      </c>
      <c r="B313" s="43" t="s">
        <v>158</v>
      </c>
      <c r="C313" s="37" t="s">
        <v>146</v>
      </c>
      <c r="D313" s="3"/>
      <c r="E313" s="3"/>
      <c r="F313" s="3"/>
      <c r="G313" s="3"/>
      <c r="H313" s="3"/>
    </row>
    <row r="314" spans="1:8" ht="32.25" thickBot="1">
      <c r="A314" s="36" t="s">
        <v>413</v>
      </c>
      <c r="B314" s="43" t="s">
        <v>159</v>
      </c>
      <c r="C314" s="37" t="s">
        <v>146</v>
      </c>
      <c r="D314" s="3"/>
      <c r="E314" s="3"/>
      <c r="F314" s="3"/>
      <c r="G314" s="3"/>
      <c r="H314" s="3"/>
    </row>
    <row r="315" spans="1:8" ht="48" thickBot="1">
      <c r="A315" s="39">
        <v>37257</v>
      </c>
      <c r="B315" s="40" t="s">
        <v>414</v>
      </c>
      <c r="C315" s="37" t="s">
        <v>146</v>
      </c>
      <c r="D315" s="3"/>
      <c r="E315" s="3"/>
      <c r="F315" s="3"/>
      <c r="G315" s="3"/>
      <c r="H315" s="3"/>
    </row>
    <row r="316" spans="1:8" ht="63.75" thickBot="1">
      <c r="A316" s="36" t="s">
        <v>415</v>
      </c>
      <c r="B316" s="42" t="s">
        <v>148</v>
      </c>
      <c r="C316" s="37" t="s">
        <v>146</v>
      </c>
      <c r="D316" s="3"/>
      <c r="E316" s="3"/>
      <c r="F316" s="3"/>
      <c r="G316" s="3"/>
      <c r="H316" s="3"/>
    </row>
    <row r="317" spans="1:8" ht="63.75" thickBot="1">
      <c r="A317" s="36" t="s">
        <v>416</v>
      </c>
      <c r="B317" s="42" t="s">
        <v>149</v>
      </c>
      <c r="C317" s="37" t="s">
        <v>146</v>
      </c>
      <c r="D317" s="3"/>
      <c r="E317" s="3"/>
      <c r="F317" s="3"/>
      <c r="G317" s="3"/>
      <c r="H317" s="3"/>
    </row>
    <row r="318" spans="1:8" ht="63.75" thickBot="1">
      <c r="A318" s="36" t="s">
        <v>417</v>
      </c>
      <c r="B318" s="42" t="s">
        <v>150</v>
      </c>
      <c r="C318" s="37" t="s">
        <v>146</v>
      </c>
      <c r="D318" s="3"/>
      <c r="E318" s="3"/>
      <c r="F318" s="3"/>
      <c r="G318" s="3"/>
      <c r="H318" s="3"/>
    </row>
    <row r="319" spans="1:8" ht="32.25" thickBot="1">
      <c r="A319" s="39">
        <v>37622</v>
      </c>
      <c r="B319" s="40" t="s">
        <v>418</v>
      </c>
      <c r="C319" s="37" t="s">
        <v>146</v>
      </c>
      <c r="D319" s="3"/>
      <c r="E319" s="3"/>
      <c r="F319" s="3"/>
      <c r="G319" s="3"/>
      <c r="H319" s="3"/>
    </row>
    <row r="320" spans="1:8" ht="32.25" thickBot="1">
      <c r="A320" s="36">
        <v>1.2</v>
      </c>
      <c r="B320" s="38" t="s">
        <v>419</v>
      </c>
      <c r="C320" s="37" t="s">
        <v>146</v>
      </c>
      <c r="D320" s="3"/>
      <c r="E320" s="3"/>
      <c r="F320" s="3"/>
      <c r="G320" s="3"/>
      <c r="H320" s="3"/>
    </row>
    <row r="321" spans="1:8" ht="32.25" thickBot="1">
      <c r="A321" s="39">
        <v>36923</v>
      </c>
      <c r="B321" s="40" t="s">
        <v>420</v>
      </c>
      <c r="C321" s="37" t="s">
        <v>146</v>
      </c>
      <c r="D321" s="3"/>
      <c r="E321" s="3"/>
      <c r="F321" s="3"/>
      <c r="G321" s="3"/>
      <c r="H321" s="3"/>
    </row>
    <row r="322" spans="1:8" ht="32.25" thickBot="1">
      <c r="A322" s="36" t="s">
        <v>421</v>
      </c>
      <c r="B322" s="42" t="s">
        <v>422</v>
      </c>
      <c r="C322" s="37" t="s">
        <v>146</v>
      </c>
      <c r="D322" s="3"/>
      <c r="E322" s="3"/>
      <c r="F322" s="3"/>
      <c r="G322" s="3"/>
      <c r="H322" s="3"/>
    </row>
    <row r="323" spans="1:8" ht="63.75" thickBot="1">
      <c r="A323" s="36" t="s">
        <v>423</v>
      </c>
      <c r="B323" s="42" t="s">
        <v>148</v>
      </c>
      <c r="C323" s="37" t="s">
        <v>146</v>
      </c>
      <c r="D323" s="3"/>
      <c r="E323" s="3"/>
      <c r="F323" s="3"/>
      <c r="G323" s="3"/>
      <c r="H323" s="3"/>
    </row>
    <row r="324" spans="1:8" ht="63.75" thickBot="1">
      <c r="A324" s="36" t="s">
        <v>424</v>
      </c>
      <c r="B324" s="42" t="s">
        <v>149</v>
      </c>
      <c r="C324" s="37" t="s">
        <v>146</v>
      </c>
      <c r="D324" s="3"/>
      <c r="E324" s="3"/>
      <c r="F324" s="3"/>
      <c r="G324" s="3"/>
      <c r="H324" s="3"/>
    </row>
    <row r="325" spans="1:8" ht="63.75" thickBot="1">
      <c r="A325" s="36" t="s">
        <v>425</v>
      </c>
      <c r="B325" s="42" t="s">
        <v>150</v>
      </c>
      <c r="C325" s="37" t="s">
        <v>146</v>
      </c>
      <c r="D325" s="3"/>
      <c r="E325" s="3"/>
      <c r="F325" s="3"/>
      <c r="G325" s="3"/>
      <c r="H325" s="3"/>
    </row>
    <row r="326" spans="1:8" ht="32.25" thickBot="1">
      <c r="A326" s="36" t="s">
        <v>426</v>
      </c>
      <c r="B326" s="42" t="s">
        <v>267</v>
      </c>
      <c r="C326" s="37" t="s">
        <v>146</v>
      </c>
      <c r="D326" s="3"/>
      <c r="E326" s="3"/>
      <c r="F326" s="3"/>
      <c r="G326" s="3"/>
      <c r="H326" s="3"/>
    </row>
    <row r="327" spans="1:8" ht="32.25" thickBot="1">
      <c r="A327" s="36" t="s">
        <v>427</v>
      </c>
      <c r="B327" s="42" t="s">
        <v>269</v>
      </c>
      <c r="C327" s="37" t="s">
        <v>146</v>
      </c>
      <c r="D327" s="3"/>
      <c r="E327" s="3"/>
      <c r="F327" s="3"/>
      <c r="G327" s="3"/>
      <c r="H327" s="3"/>
    </row>
    <row r="328" spans="1:8" ht="32.25" thickBot="1">
      <c r="A328" s="36" t="s">
        <v>428</v>
      </c>
      <c r="B328" s="42" t="s">
        <v>271</v>
      </c>
      <c r="C328" s="37" t="s">
        <v>146</v>
      </c>
      <c r="D328" s="3"/>
      <c r="E328" s="3"/>
      <c r="F328" s="3"/>
      <c r="G328" s="3"/>
      <c r="H328" s="3"/>
    </row>
    <row r="329" spans="1:8" ht="32.25" thickBot="1">
      <c r="A329" s="36" t="s">
        <v>429</v>
      </c>
      <c r="B329" s="42" t="s">
        <v>275</v>
      </c>
      <c r="C329" s="37" t="s">
        <v>146</v>
      </c>
      <c r="D329" s="3"/>
      <c r="E329" s="3"/>
      <c r="F329" s="3"/>
      <c r="G329" s="3"/>
      <c r="H329" s="3"/>
    </row>
    <row r="330" spans="1:8" ht="32.25" thickBot="1">
      <c r="A330" s="36" t="s">
        <v>430</v>
      </c>
      <c r="B330" s="42" t="s">
        <v>277</v>
      </c>
      <c r="C330" s="37" t="s">
        <v>146</v>
      </c>
      <c r="D330" s="3"/>
      <c r="E330" s="3"/>
      <c r="F330" s="3"/>
      <c r="G330" s="3"/>
      <c r="H330" s="3"/>
    </row>
    <row r="331" spans="1:8" ht="48" thickBot="1">
      <c r="A331" s="36" t="s">
        <v>431</v>
      </c>
      <c r="B331" s="42" t="s">
        <v>279</v>
      </c>
      <c r="C331" s="37" t="s">
        <v>146</v>
      </c>
      <c r="D331" s="3"/>
      <c r="E331" s="3"/>
      <c r="F331" s="3"/>
      <c r="G331" s="3"/>
      <c r="H331" s="3"/>
    </row>
    <row r="332" spans="1:8" ht="32.25" thickBot="1">
      <c r="A332" s="36" t="s">
        <v>432</v>
      </c>
      <c r="B332" s="43" t="s">
        <v>158</v>
      </c>
      <c r="C332" s="37" t="s">
        <v>146</v>
      </c>
      <c r="D332" s="3"/>
      <c r="E332" s="3"/>
      <c r="F332" s="3"/>
      <c r="G332" s="3"/>
      <c r="H332" s="3"/>
    </row>
    <row r="333" spans="1:8" ht="32.25" thickBot="1">
      <c r="A333" s="36" t="s">
        <v>433</v>
      </c>
      <c r="B333" s="43" t="s">
        <v>159</v>
      </c>
      <c r="C333" s="37" t="s">
        <v>146</v>
      </c>
      <c r="D333" s="3"/>
      <c r="E333" s="3"/>
      <c r="F333" s="3"/>
      <c r="G333" s="3"/>
      <c r="H333" s="3"/>
    </row>
    <row r="334" spans="1:8" ht="32.25" thickBot="1">
      <c r="A334" s="39">
        <v>37288</v>
      </c>
      <c r="B334" s="40" t="s">
        <v>434</v>
      </c>
      <c r="C334" s="37" t="s">
        <v>146</v>
      </c>
      <c r="D334" s="3"/>
      <c r="E334" s="3"/>
      <c r="F334" s="3"/>
      <c r="G334" s="3"/>
      <c r="H334" s="3"/>
    </row>
    <row r="335" spans="1:8" ht="32.25" thickBot="1">
      <c r="A335" s="39">
        <v>37653</v>
      </c>
      <c r="B335" s="40" t="s">
        <v>435</v>
      </c>
      <c r="C335" s="37" t="s">
        <v>146</v>
      </c>
      <c r="D335" s="3"/>
      <c r="E335" s="3"/>
      <c r="F335" s="3"/>
      <c r="G335" s="3"/>
      <c r="H335" s="3"/>
    </row>
    <row r="336" spans="1:8" ht="32.25" thickBot="1">
      <c r="A336" s="36" t="s">
        <v>436</v>
      </c>
      <c r="B336" s="42" t="s">
        <v>422</v>
      </c>
      <c r="C336" s="37" t="s">
        <v>146</v>
      </c>
      <c r="D336" s="3"/>
      <c r="E336" s="3"/>
      <c r="F336" s="3"/>
      <c r="G336" s="3"/>
      <c r="H336" s="3"/>
    </row>
    <row r="337" spans="1:8" ht="63.75" thickBot="1">
      <c r="A337" s="36" t="s">
        <v>437</v>
      </c>
      <c r="B337" s="42" t="s">
        <v>148</v>
      </c>
      <c r="C337" s="37" t="s">
        <v>146</v>
      </c>
      <c r="D337" s="3"/>
      <c r="E337" s="3"/>
      <c r="F337" s="3"/>
      <c r="G337" s="3"/>
      <c r="H337" s="3"/>
    </row>
    <row r="338" spans="1:8" ht="63.75" thickBot="1">
      <c r="A338" s="36" t="s">
        <v>438</v>
      </c>
      <c r="B338" s="42" t="s">
        <v>149</v>
      </c>
      <c r="C338" s="37" t="s">
        <v>146</v>
      </c>
      <c r="D338" s="3"/>
      <c r="E338" s="3"/>
      <c r="F338" s="3"/>
      <c r="G338" s="3"/>
      <c r="H338" s="3"/>
    </row>
    <row r="339" spans="1:8" ht="173.25">
      <c r="A339" s="49" t="s">
        <v>439</v>
      </c>
      <c r="H339" s="1"/>
    </row>
    <row r="340" spans="1:8" ht="63.75" thickBot="1">
      <c r="A340" s="36" t="s">
        <v>438</v>
      </c>
      <c r="B340" s="42" t="s">
        <v>150</v>
      </c>
      <c r="C340" s="37" t="s">
        <v>146</v>
      </c>
      <c r="D340" s="3"/>
      <c r="E340" s="3"/>
      <c r="F340" s="3"/>
      <c r="G340" s="3"/>
      <c r="H340" s="3"/>
    </row>
    <row r="341" spans="1:8" ht="32.25" thickBot="1">
      <c r="A341" s="36" t="s">
        <v>440</v>
      </c>
      <c r="B341" s="42" t="s">
        <v>267</v>
      </c>
      <c r="C341" s="37" t="s">
        <v>146</v>
      </c>
      <c r="D341" s="3"/>
      <c r="E341" s="3"/>
      <c r="F341" s="3"/>
      <c r="G341" s="3"/>
      <c r="H341" s="3"/>
    </row>
    <row r="342" spans="1:8" ht="32.25" thickBot="1">
      <c r="A342" s="36" t="s">
        <v>441</v>
      </c>
      <c r="B342" s="42" t="s">
        <v>269</v>
      </c>
      <c r="C342" s="37" t="s">
        <v>146</v>
      </c>
      <c r="D342" s="3"/>
      <c r="E342" s="3"/>
      <c r="F342" s="3"/>
      <c r="G342" s="3"/>
      <c r="H342" s="3"/>
    </row>
    <row r="343" spans="1:8" ht="32.25" thickBot="1">
      <c r="A343" s="36" t="s">
        <v>442</v>
      </c>
      <c r="B343" s="42" t="s">
        <v>271</v>
      </c>
      <c r="C343" s="37" t="s">
        <v>146</v>
      </c>
      <c r="D343" s="3"/>
      <c r="E343" s="3"/>
      <c r="F343" s="3"/>
      <c r="G343" s="3"/>
      <c r="H343" s="3"/>
    </row>
    <row r="344" spans="1:8" ht="32.25" thickBot="1">
      <c r="A344" s="36" t="s">
        <v>443</v>
      </c>
      <c r="B344" s="42" t="s">
        <v>275</v>
      </c>
      <c r="C344" s="37" t="s">
        <v>146</v>
      </c>
      <c r="D344" s="3"/>
      <c r="E344" s="3"/>
      <c r="F344" s="3"/>
      <c r="G344" s="3"/>
      <c r="H344" s="3"/>
    </row>
    <row r="345" spans="1:8" ht="32.25" thickBot="1">
      <c r="A345" s="36" t="s">
        <v>444</v>
      </c>
      <c r="B345" s="42" t="s">
        <v>277</v>
      </c>
      <c r="C345" s="37" t="s">
        <v>146</v>
      </c>
      <c r="D345" s="3"/>
      <c r="E345" s="3"/>
      <c r="F345" s="3"/>
      <c r="G345" s="3"/>
      <c r="H345" s="3"/>
    </row>
    <row r="346" spans="1:8" ht="48" thickBot="1">
      <c r="A346" s="36" t="s">
        <v>445</v>
      </c>
      <c r="B346" s="42" t="s">
        <v>279</v>
      </c>
      <c r="C346" s="37" t="s">
        <v>146</v>
      </c>
      <c r="D346" s="3"/>
      <c r="E346" s="3"/>
      <c r="F346" s="3"/>
      <c r="G346" s="3"/>
      <c r="H346" s="3"/>
    </row>
    <row r="347" spans="1:8" ht="32.25" thickBot="1">
      <c r="A347" s="36" t="s">
        <v>446</v>
      </c>
      <c r="B347" s="43" t="s">
        <v>158</v>
      </c>
      <c r="C347" s="37" t="s">
        <v>146</v>
      </c>
      <c r="D347" s="3"/>
      <c r="E347" s="3"/>
      <c r="F347" s="3"/>
      <c r="G347" s="3"/>
      <c r="H347" s="3"/>
    </row>
    <row r="348" spans="1:8" ht="32.25" thickBot="1">
      <c r="A348" s="36" t="s">
        <v>447</v>
      </c>
      <c r="B348" s="43" t="s">
        <v>159</v>
      </c>
      <c r="C348" s="37" t="s">
        <v>146</v>
      </c>
      <c r="D348" s="3"/>
      <c r="E348" s="3"/>
      <c r="F348" s="3"/>
      <c r="G348" s="3"/>
      <c r="H348" s="3"/>
    </row>
    <row r="349" spans="1:8" ht="32.25" thickBot="1">
      <c r="A349" s="36">
        <v>1.3</v>
      </c>
      <c r="B349" s="48" t="s">
        <v>448</v>
      </c>
      <c r="C349" s="37" t="s">
        <v>146</v>
      </c>
      <c r="D349" s="3"/>
      <c r="E349" s="3"/>
      <c r="F349" s="3"/>
      <c r="G349" s="3"/>
      <c r="H349" s="3"/>
    </row>
    <row r="350" spans="1:8" ht="32.25" thickBot="1">
      <c r="A350" s="36">
        <v>1.4</v>
      </c>
      <c r="B350" s="38" t="s">
        <v>449</v>
      </c>
      <c r="C350" s="37" t="s">
        <v>146</v>
      </c>
      <c r="D350" s="3"/>
      <c r="E350" s="3"/>
      <c r="F350" s="3"/>
      <c r="G350" s="3"/>
      <c r="H350" s="3"/>
    </row>
    <row r="351" spans="1:8" ht="32.25" thickBot="1">
      <c r="A351" s="39">
        <v>36982</v>
      </c>
      <c r="B351" s="40" t="s">
        <v>450</v>
      </c>
      <c r="C351" s="37" t="s">
        <v>146</v>
      </c>
      <c r="D351" s="3"/>
      <c r="E351" s="3"/>
      <c r="F351" s="3"/>
      <c r="G351" s="3"/>
      <c r="H351" s="3"/>
    </row>
    <row r="352" spans="1:8" ht="32.25" thickBot="1">
      <c r="A352" s="39">
        <v>37347</v>
      </c>
      <c r="B352" s="40" t="s">
        <v>451</v>
      </c>
      <c r="C352" s="37" t="s">
        <v>146</v>
      </c>
      <c r="D352" s="3"/>
      <c r="E352" s="3"/>
      <c r="F352" s="3"/>
      <c r="G352" s="3"/>
      <c r="H352" s="3"/>
    </row>
    <row r="353" spans="1:8" ht="32.25" thickBot="1">
      <c r="A353" s="36" t="s">
        <v>161</v>
      </c>
      <c r="B353" s="3" t="s">
        <v>452</v>
      </c>
      <c r="C353" s="37" t="s">
        <v>146</v>
      </c>
      <c r="D353" s="3"/>
      <c r="E353" s="3"/>
      <c r="F353" s="3"/>
      <c r="G353" s="3"/>
      <c r="H353" s="3"/>
    </row>
    <row r="354" spans="1:8" ht="32.25" thickBot="1">
      <c r="A354" s="36">
        <v>2.1</v>
      </c>
      <c r="B354" s="38" t="s">
        <v>453</v>
      </c>
      <c r="C354" s="37" t="s">
        <v>146</v>
      </c>
      <c r="D354" s="3"/>
      <c r="E354" s="3"/>
      <c r="F354" s="3"/>
      <c r="G354" s="3"/>
      <c r="H354" s="3"/>
    </row>
    <row r="355" spans="1:8" ht="32.25" thickBot="1">
      <c r="A355" s="36">
        <v>2.2000000000000002</v>
      </c>
      <c r="B355" s="38" t="s">
        <v>454</v>
      </c>
      <c r="C355" s="37" t="s">
        <v>146</v>
      </c>
      <c r="D355" s="3"/>
      <c r="E355" s="3"/>
      <c r="F355" s="3"/>
      <c r="G355" s="3"/>
      <c r="H355" s="3"/>
    </row>
    <row r="356" spans="1:8" ht="32.25" thickBot="1">
      <c r="A356" s="36">
        <v>2.2999999999999998</v>
      </c>
      <c r="B356" s="38" t="s">
        <v>455</v>
      </c>
      <c r="C356" s="37" t="s">
        <v>146</v>
      </c>
      <c r="D356" s="3"/>
      <c r="E356" s="3"/>
      <c r="F356" s="3"/>
      <c r="G356" s="3"/>
      <c r="H356" s="3"/>
    </row>
    <row r="357" spans="1:8" ht="32.25" thickBot="1">
      <c r="A357" s="36">
        <v>2.4</v>
      </c>
      <c r="B357" s="38" t="s">
        <v>456</v>
      </c>
      <c r="C357" s="37" t="s">
        <v>146</v>
      </c>
      <c r="D357" s="3"/>
      <c r="E357" s="3"/>
      <c r="F357" s="3"/>
      <c r="G357" s="3"/>
      <c r="H357" s="3"/>
    </row>
    <row r="358" spans="1:8" ht="32.25" thickBot="1">
      <c r="A358" s="36">
        <v>2.5</v>
      </c>
      <c r="B358" s="38" t="s">
        <v>457</v>
      </c>
      <c r="C358" s="37" t="s">
        <v>146</v>
      </c>
      <c r="D358" s="3"/>
      <c r="E358" s="3"/>
      <c r="F358" s="3"/>
      <c r="G358" s="3"/>
      <c r="H358" s="3"/>
    </row>
    <row r="359" spans="1:8" ht="32.25" thickBot="1">
      <c r="A359" s="39">
        <v>37013</v>
      </c>
      <c r="B359" s="40" t="s">
        <v>458</v>
      </c>
      <c r="C359" s="37" t="s">
        <v>146</v>
      </c>
      <c r="D359" s="3"/>
      <c r="E359" s="3"/>
      <c r="F359" s="3"/>
      <c r="G359" s="3"/>
      <c r="H359" s="3"/>
    </row>
    <row r="360" spans="1:8" ht="48" thickBot="1">
      <c r="A360" s="36" t="s">
        <v>459</v>
      </c>
      <c r="B360" s="42" t="s">
        <v>460</v>
      </c>
      <c r="C360" s="37" t="s">
        <v>146</v>
      </c>
      <c r="D360" s="3"/>
      <c r="E360" s="3"/>
      <c r="F360" s="3"/>
      <c r="G360" s="3"/>
      <c r="H360" s="3"/>
    </row>
    <row r="361" spans="1:8" ht="32.25" thickBot="1">
      <c r="A361" s="39">
        <v>37378</v>
      </c>
      <c r="B361" s="40" t="s">
        <v>461</v>
      </c>
      <c r="C361" s="37" t="s">
        <v>146</v>
      </c>
      <c r="D361" s="3"/>
      <c r="E361" s="3"/>
      <c r="F361" s="3"/>
      <c r="G361" s="3"/>
      <c r="H361" s="3"/>
    </row>
    <row r="362" spans="1:8" ht="79.5" thickBot="1">
      <c r="A362" s="36" t="s">
        <v>462</v>
      </c>
      <c r="B362" s="42" t="s">
        <v>463</v>
      </c>
      <c r="C362" s="37" t="s">
        <v>146</v>
      </c>
      <c r="D362" s="3"/>
      <c r="E362" s="3"/>
      <c r="F362" s="3"/>
      <c r="G362" s="3"/>
      <c r="H362" s="3"/>
    </row>
    <row r="363" spans="1:8" ht="32.25" thickBot="1">
      <c r="A363" s="36">
        <v>2.6</v>
      </c>
      <c r="B363" s="38" t="s">
        <v>464</v>
      </c>
      <c r="C363" s="37" t="s">
        <v>146</v>
      </c>
      <c r="D363" s="3"/>
      <c r="E363" s="3"/>
      <c r="F363" s="3"/>
      <c r="G363" s="3"/>
      <c r="H363" s="3"/>
    </row>
    <row r="364" spans="1:8" ht="32.25" thickBot="1">
      <c r="A364" s="36">
        <v>2.7</v>
      </c>
      <c r="B364" s="38" t="s">
        <v>465</v>
      </c>
      <c r="C364" s="37" t="s">
        <v>146</v>
      </c>
      <c r="D364" s="3"/>
      <c r="E364" s="3"/>
      <c r="F364" s="3"/>
      <c r="G364" s="3"/>
      <c r="H364" s="3"/>
    </row>
    <row r="365" spans="1:8" ht="16.5" thickBot="1">
      <c r="A365" s="36" t="s">
        <v>202</v>
      </c>
      <c r="B365" s="3" t="s">
        <v>198</v>
      </c>
      <c r="C365" s="37" t="s">
        <v>256</v>
      </c>
      <c r="D365" s="3"/>
      <c r="E365" s="3"/>
      <c r="F365" s="3"/>
      <c r="G365" s="3"/>
      <c r="H365" s="3"/>
    </row>
    <row r="366" spans="1:8" ht="79.5" thickBot="1">
      <c r="A366" s="36">
        <v>3.1</v>
      </c>
      <c r="B366" s="38" t="s">
        <v>466</v>
      </c>
      <c r="C366" s="37" t="s">
        <v>146</v>
      </c>
      <c r="D366" s="3"/>
      <c r="E366" s="3"/>
      <c r="F366" s="3"/>
      <c r="G366" s="3"/>
      <c r="H366" s="3"/>
    </row>
    <row r="367" spans="1:8" ht="32.25" thickBot="1">
      <c r="A367" s="39">
        <v>36894</v>
      </c>
      <c r="B367" s="40" t="s">
        <v>467</v>
      </c>
      <c r="C367" s="37" t="s">
        <v>146</v>
      </c>
      <c r="D367" s="3"/>
      <c r="E367" s="3"/>
      <c r="F367" s="3"/>
      <c r="G367" s="3"/>
      <c r="H367" s="3"/>
    </row>
    <row r="368" spans="1:8" ht="48" thickBot="1">
      <c r="A368" s="39">
        <v>37259</v>
      </c>
      <c r="B368" s="40" t="s">
        <v>468</v>
      </c>
      <c r="C368" s="37" t="s">
        <v>146</v>
      </c>
      <c r="D368" s="3"/>
      <c r="E368" s="3"/>
      <c r="F368" s="3"/>
      <c r="G368" s="3"/>
      <c r="H368" s="3"/>
    </row>
    <row r="369" spans="1:8" ht="32.25" thickBot="1">
      <c r="A369" s="39">
        <v>37624</v>
      </c>
      <c r="B369" s="40" t="s">
        <v>469</v>
      </c>
      <c r="C369" s="37" t="s">
        <v>146</v>
      </c>
      <c r="D369" s="3"/>
      <c r="E369" s="3"/>
      <c r="F369" s="3"/>
      <c r="G369" s="3"/>
      <c r="H369" s="3"/>
    </row>
    <row r="370" spans="1:8" ht="63.75" thickBot="1">
      <c r="A370" s="36">
        <v>3.2</v>
      </c>
      <c r="B370" s="38" t="s">
        <v>470</v>
      </c>
      <c r="C370" s="37" t="s">
        <v>256</v>
      </c>
      <c r="D370" s="3"/>
      <c r="E370" s="3"/>
      <c r="F370" s="3"/>
      <c r="G370" s="3"/>
      <c r="H370" s="3"/>
    </row>
    <row r="371" spans="1:8" ht="32.25" thickBot="1">
      <c r="A371" s="39">
        <v>36925</v>
      </c>
      <c r="B371" s="40" t="s">
        <v>471</v>
      </c>
      <c r="C371" s="37" t="s">
        <v>146</v>
      </c>
      <c r="D371" s="3"/>
      <c r="E371" s="3"/>
      <c r="F371" s="3"/>
      <c r="G371" s="3"/>
      <c r="H371" s="3"/>
    </row>
    <row r="372" spans="1:8" ht="32.25" thickBot="1">
      <c r="A372" s="39">
        <v>37290</v>
      </c>
      <c r="B372" s="40" t="s">
        <v>472</v>
      </c>
      <c r="C372" s="37" t="s">
        <v>146</v>
      </c>
      <c r="D372" s="3"/>
      <c r="E372" s="3"/>
      <c r="F372" s="3"/>
      <c r="G372" s="3"/>
      <c r="H372" s="3"/>
    </row>
    <row r="373" spans="1:8" ht="32.25" thickBot="1">
      <c r="A373" s="39">
        <v>37655</v>
      </c>
      <c r="B373" s="40" t="s">
        <v>473</v>
      </c>
      <c r="C373" s="37" t="s">
        <v>146</v>
      </c>
      <c r="D373" s="3"/>
      <c r="E373" s="3"/>
      <c r="F373" s="3"/>
      <c r="G373" s="3"/>
      <c r="H373" s="3"/>
    </row>
    <row r="378" spans="1:8" ht="15.75">
      <c r="A378" s="7" t="s">
        <v>474</v>
      </c>
    </row>
    <row r="379" spans="1:8" ht="15.75">
      <c r="A379" s="7" t="s">
        <v>475</v>
      </c>
    </row>
    <row r="380" spans="1:8" ht="15.75">
      <c r="A380" s="7" t="s">
        <v>476</v>
      </c>
    </row>
    <row r="381" spans="1:8" ht="15.75">
      <c r="A381" s="7" t="s">
        <v>477</v>
      </c>
    </row>
    <row r="382" spans="1:8" ht="15.75">
      <c r="A382" s="7" t="s">
        <v>478</v>
      </c>
    </row>
    <row r="383" spans="1:8" ht="15.75">
      <c r="A383" s="7" t="s">
        <v>479</v>
      </c>
    </row>
  </sheetData>
  <mergeCells count="19">
    <mergeCell ref="H25:H26"/>
    <mergeCell ref="A28:H28"/>
    <mergeCell ref="A6:M6"/>
    <mergeCell ref="A7:M7"/>
    <mergeCell ref="A8:M8"/>
    <mergeCell ref="A25:A26"/>
    <mergeCell ref="B25:B26"/>
    <mergeCell ref="C25:C26"/>
    <mergeCell ref="D25:E25"/>
    <mergeCell ref="F25:G25"/>
    <mergeCell ref="A294:B294"/>
    <mergeCell ref="A240:H240"/>
    <mergeCell ref="A290:H290"/>
    <mergeCell ref="A291:A292"/>
    <mergeCell ref="B291:B292"/>
    <mergeCell ref="C291:C292"/>
    <mergeCell ref="D291:E291"/>
    <mergeCell ref="F291:G291"/>
    <mergeCell ref="H291:H292"/>
  </mergeCells>
  <hyperlinks>
    <hyperlink ref="B72" location="Par3908" tooltip="&lt;*****&gt; Указывается суммарно стоимость оказанных субъекту электроэнергетики услуг." display="Par3908"/>
    <hyperlink ref="B267" location="Par3906" tooltip="&lt;***&gt; Указывается на основании заключенных договоров на оказание услуг по передаче электрической энергии." display="Par3906"/>
    <hyperlink ref="B349" location="Par3907" tooltip="&lt;****&gt;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" display="Par390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 (фин-экон.модель)</vt:lpstr>
      <vt:lpstr>20 (источники финанс)</vt:lpstr>
      <vt:lpstr>ФЭМ</vt:lpstr>
      <vt:lpstr>'13'!Область_печати</vt:lpstr>
      <vt:lpstr>'14'!Область_печати</vt:lpstr>
      <vt:lpstr>'15'!Область_печати</vt:lpstr>
      <vt:lpstr>'16'!Область_печати</vt:lpstr>
      <vt:lpstr>'20 (источники финанс)'!Область_печати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Uvarova_nv</dc:creator>
  <cp:lastModifiedBy>1</cp:lastModifiedBy>
  <cp:lastPrinted>2019-02-18T08:12:06Z</cp:lastPrinted>
  <dcterms:created xsi:type="dcterms:W3CDTF">2018-07-25T05:24:06Z</dcterms:created>
  <dcterms:modified xsi:type="dcterms:W3CDTF">2019-02-18T08:12:16Z</dcterms:modified>
</cp:coreProperties>
</file>